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ctrlProps/ctrlProp8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O:\PS\Staff Immigration Team\PBS Forms and Guidance\CoS application forms\"/>
    </mc:Choice>
  </mc:AlternateContent>
  <xr:revisionPtr revIDLastSave="0" documentId="13_ncr:1_{C6678168-E2C6-45E3-B2CC-F3DBE61D78FD}" xr6:coauthVersionLast="47" xr6:coauthVersionMax="47" xr10:uidLastSave="{00000000-0000-0000-0000-000000000000}"/>
  <workbookProtection workbookPassword="DC0E" lockStructure="1"/>
  <bookViews>
    <workbookView xWindow="-120" yWindow="-120" windowWidth="29040" windowHeight="15720" activeTab="2" xr2:uid="{00000000-000D-0000-FFFF-FFFF00000000}"/>
  </bookViews>
  <sheets>
    <sheet name="Cost Centre list" sheetId="4" r:id="rId1"/>
    <sheet name="Dropdowns" sheetId="5" r:id="rId2"/>
    <sheet name="SW initial CoS form" sheetId="1" r:id="rId3"/>
    <sheet name="SW initial -recruitment details" sheetId="7" r:id="rId4"/>
    <sheet name="CHECKING" sheetId="6" r:id="rId5"/>
  </sheets>
  <definedNames>
    <definedName name="_xlnm._FilterDatabase" localSheetId="1" hidden="1">Dropdowns!$A$2:$A$270</definedName>
    <definedName name="cc">#REF!</definedName>
    <definedName name="csDesignMode">1</definedName>
    <definedName name="date">#REF!</definedName>
    <definedName name="exp">#REF!</definedName>
    <definedName name="_xlnm.Extract" localSheetId="1">Dropdowns!#REF!</definedName>
    <definedName name="invoicedate">#REF!</definedName>
    <definedName name="_xlnm.Print_Area" localSheetId="4">CHECKING!$A$1:$V$230</definedName>
    <definedName name="_xlnm.Print_Area" localSheetId="2">'SW initial CoS form'!$A$1:$T$611</definedName>
    <definedName name="_xlnm.Print_Area" localSheetId="3">'SW initial -recruitment details'!$A$1:$J$109</definedName>
    <definedName name="sub">#REF!</definedName>
    <definedName name="subjective">#REF!</definedName>
    <definedName name="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83" i="1" l="1"/>
  <c r="D282" i="1"/>
  <c r="A284" i="1" l="1"/>
  <c r="J262" i="1" l="1"/>
  <c r="F271" i="1" s="1"/>
  <c r="A281" i="1"/>
  <c r="A261" i="1"/>
  <c r="H271" i="1" l="1"/>
  <c r="F278" i="1" s="1"/>
  <c r="D271" i="1"/>
  <c r="D269" i="1"/>
  <c r="J201" i="1"/>
  <c r="C58" i="6" s="1"/>
  <c r="C57" i="6"/>
  <c r="B57" i="6"/>
  <c r="B56" i="6"/>
  <c r="F277" i="1" l="1"/>
  <c r="C56" i="6"/>
  <c r="E56" i="6" s="1"/>
  <c r="A69" i="1"/>
  <c r="A66" i="1"/>
  <c r="A390" i="1"/>
  <c r="C168" i="1"/>
  <c r="D35" i="6" l="1"/>
  <c r="J192" i="1" l="1"/>
  <c r="B113" i="1" l="1"/>
  <c r="A98" i="1" l="1"/>
  <c r="E265" i="1" l="1"/>
  <c r="B159" i="6"/>
  <c r="D193" i="6" l="1"/>
  <c r="D192" i="6"/>
  <c r="D191" i="6"/>
  <c r="D189" i="6"/>
  <c r="D190" i="6"/>
  <c r="D197" i="6"/>
  <c r="D200" i="6"/>
  <c r="D201" i="6"/>
  <c r="C206" i="6"/>
  <c r="C562" i="1" l="1"/>
  <c r="A65" i="1"/>
  <c r="F68" i="1"/>
  <c r="F65" i="1"/>
  <c r="E79" i="6" l="1"/>
  <c r="E83" i="6" l="1"/>
  <c r="C79" i="6"/>
  <c r="B74" i="6"/>
  <c r="B73" i="6"/>
  <c r="B72" i="6"/>
  <c r="B75" i="6"/>
  <c r="J511" i="1"/>
  <c r="D198" i="6"/>
  <c r="F70" i="6" l="1"/>
  <c r="F69" i="6"/>
  <c r="F68" i="6"/>
  <c r="E2" i="6" l="1"/>
  <c r="C83" i="6"/>
  <c r="C81" i="6"/>
  <c r="C80" i="6"/>
  <c r="D64" i="6" l="1"/>
  <c r="C64" i="6" s="1"/>
  <c r="F67" i="6"/>
  <c r="A236" i="1"/>
  <c r="D199" i="6" s="1"/>
  <c r="A67" i="6" l="1"/>
  <c r="C76" i="6"/>
  <c r="E199" i="6"/>
  <c r="C65" i="6"/>
  <c r="H40" i="7"/>
  <c r="C180" i="6" l="1"/>
  <c r="C184" i="6"/>
  <c r="D21" i="7" l="1"/>
  <c r="D19" i="7"/>
  <c r="E12" i="7"/>
  <c r="D26" i="6"/>
  <c r="E9" i="7" s="1"/>
  <c r="D25" i="6"/>
  <c r="E8" i="7" s="1"/>
  <c r="E9" i="6" l="1"/>
  <c r="G12" i="6"/>
  <c r="E159" i="6" l="1"/>
  <c r="A149" i="1" l="1"/>
  <c r="C164" i="6" l="1"/>
  <c r="D112" i="6"/>
  <c r="J111" i="1"/>
  <c r="B108" i="1"/>
  <c r="J106" i="1"/>
  <c r="J104" i="1"/>
  <c r="J102" i="1"/>
  <c r="B399" i="1" l="1"/>
  <c r="B154" i="6" l="1"/>
  <c r="B155" i="6"/>
  <c r="B158" i="6"/>
  <c r="B157" i="6"/>
  <c r="C152" i="6"/>
  <c r="I570" i="1"/>
  <c r="B161" i="1" l="1"/>
  <c r="C11" i="6" l="1"/>
  <c r="A68" i="1" l="1"/>
  <c r="C211" i="6" l="1"/>
  <c r="C186" i="6"/>
  <c r="C185" i="6"/>
  <c r="C145" i="6"/>
  <c r="C144" i="6"/>
  <c r="E8" i="6" l="1"/>
  <c r="C171" i="6" l="1"/>
  <c r="C170" i="6"/>
  <c r="D174" i="6"/>
  <c r="C174" i="6" s="1"/>
  <c r="C96" i="6"/>
  <c r="C31" i="6"/>
  <c r="C29" i="6"/>
  <c r="A343" i="1"/>
  <c r="C12" i="6" l="1"/>
  <c r="H548" i="1" l="1"/>
  <c r="H547" i="1"/>
  <c r="H546" i="1"/>
  <c r="H545" i="1"/>
  <c r="H544" i="1"/>
  <c r="D548" i="1"/>
  <c r="D547" i="1"/>
  <c r="D546" i="1"/>
  <c r="D545" i="1"/>
  <c r="E228" i="6" l="1"/>
  <c r="D100" i="7" s="1"/>
  <c r="E227" i="6"/>
  <c r="D99" i="7" s="1"/>
  <c r="E226" i="6"/>
  <c r="F65" i="6" s="1"/>
  <c r="E225" i="6"/>
  <c r="D97" i="7" s="1"/>
  <c r="E224" i="6"/>
  <c r="D96" i="7" s="1"/>
  <c r="E223" i="6"/>
  <c r="D95" i="7" s="1"/>
  <c r="D215" i="6"/>
  <c r="D217" i="6"/>
  <c r="A221" i="6" s="1"/>
  <c r="D218" i="6"/>
  <c r="D597" i="1"/>
  <c r="E229" i="6" s="1"/>
  <c r="D211" i="6"/>
  <c r="G582" i="1"/>
  <c r="E218" i="6" s="1"/>
  <c r="B582" i="1"/>
  <c r="E217" i="6" s="1"/>
  <c r="J556" i="1"/>
  <c r="J553" i="1"/>
  <c r="J523" i="1"/>
  <c r="J514" i="1"/>
  <c r="J508" i="1"/>
  <c r="D221" i="6" l="1"/>
  <c r="D98" i="7"/>
  <c r="C223" i="6"/>
  <c r="D213" i="6"/>
  <c r="C213" i="6"/>
  <c r="C215" i="6"/>
  <c r="C212" i="6"/>
  <c r="B558" i="1"/>
  <c r="D212" i="6"/>
  <c r="J504" i="1" l="1"/>
  <c r="J487" i="1"/>
  <c r="J470" i="1"/>
  <c r="J476" i="1"/>
  <c r="J480" i="1"/>
  <c r="J467" i="1"/>
  <c r="B2" i="6"/>
  <c r="A2" i="6"/>
  <c r="T62" i="1"/>
  <c r="S63" i="1"/>
  <c r="J462" i="1"/>
  <c r="J459" i="1"/>
  <c r="J457" i="1"/>
  <c r="D19" i="6" l="1"/>
  <c r="H269" i="1"/>
  <c r="C19" i="6" l="1"/>
  <c r="D173" i="6"/>
  <c r="C173" i="6" s="1"/>
  <c r="A266" i="1"/>
  <c r="E190" i="1" l="1"/>
  <c r="E174" i="6" l="1"/>
  <c r="D60" i="6"/>
  <c r="C60" i="6" s="1"/>
  <c r="J396" i="1"/>
  <c r="J394" i="1"/>
  <c r="E173" i="6" l="1"/>
  <c r="C165" i="6"/>
  <c r="C166" i="6"/>
  <c r="C167" i="6"/>
  <c r="J389" i="1"/>
  <c r="J387" i="1"/>
  <c r="J385" i="1"/>
  <c r="J383" i="1"/>
  <c r="D150" i="6"/>
  <c r="C150" i="6" s="1"/>
  <c r="D145" i="6"/>
  <c r="D135" i="6"/>
  <c r="C135" i="6" s="1"/>
  <c r="D133" i="6"/>
  <c r="B327" i="1"/>
  <c r="D134" i="6" s="1"/>
  <c r="D113" i="6"/>
  <c r="C112" i="6" s="1"/>
  <c r="D121" i="6"/>
  <c r="C121" i="6" s="1"/>
  <c r="D117" i="6"/>
  <c r="D116" i="6"/>
  <c r="D115" i="6"/>
  <c r="D114" i="6"/>
  <c r="D111" i="6"/>
  <c r="D110" i="6"/>
  <c r="D109" i="6"/>
  <c r="D108" i="6"/>
  <c r="D107" i="6"/>
  <c r="C106" i="6" s="1"/>
  <c r="D106" i="6"/>
  <c r="D105" i="6"/>
  <c r="D104" i="6"/>
  <c r="D103" i="6"/>
  <c r="D102" i="6"/>
  <c r="D101" i="6"/>
  <c r="C100" i="6" s="1"/>
  <c r="D100" i="6"/>
  <c r="D99" i="6"/>
  <c r="C99" i="6" s="1"/>
  <c r="E293" i="1"/>
  <c r="E99" i="6" s="1"/>
  <c r="D97" i="6"/>
  <c r="C97" i="6" s="1"/>
  <c r="D93" i="6"/>
  <c r="C93" i="6" s="1"/>
  <c r="D92" i="6"/>
  <c r="C92" i="6" s="1"/>
  <c r="J285" i="1"/>
  <c r="F270" i="1"/>
  <c r="F269" i="1"/>
  <c r="I267" i="1"/>
  <c r="I264" i="1"/>
  <c r="D90" i="6"/>
  <c r="D89" i="6"/>
  <c r="D248" i="1"/>
  <c r="E89" i="6" s="1"/>
  <c r="C89" i="6" s="1"/>
  <c r="A182" i="1"/>
  <c r="B15" i="7" l="1"/>
  <c r="F66" i="6"/>
  <c r="F276" i="1"/>
  <c r="F274" i="1"/>
  <c r="E562" i="1"/>
  <c r="H562" i="1" s="1"/>
  <c r="F211" i="6" s="1"/>
  <c r="C133" i="6"/>
  <c r="F273" i="1"/>
  <c r="E92" i="6"/>
  <c r="E211" i="6" l="1"/>
  <c r="E93" i="6"/>
  <c r="E45" i="6" l="1"/>
  <c r="D52" i="6"/>
  <c r="C52" i="6" s="1"/>
  <c r="D51" i="6"/>
  <c r="D50" i="6"/>
  <c r="D49" i="6"/>
  <c r="D48" i="6"/>
  <c r="D47" i="6"/>
  <c r="D46" i="6"/>
  <c r="C46" i="6" s="1"/>
  <c r="A174" i="1"/>
  <c r="D40" i="6" l="1"/>
  <c r="C40" i="6" s="1"/>
  <c r="D39" i="6"/>
  <c r="D38" i="6"/>
  <c r="C38" i="6" s="1"/>
  <c r="D37" i="6"/>
  <c r="C37" i="6" s="1"/>
  <c r="E13" i="7"/>
  <c r="E35" i="6"/>
  <c r="C35" i="6" s="1"/>
  <c r="D36" i="6"/>
  <c r="C41" i="6"/>
  <c r="E39" i="6"/>
  <c r="C36" i="6" l="1"/>
  <c r="I13" i="7"/>
  <c r="A165" i="1"/>
  <c r="E32" i="6" s="1"/>
  <c r="E34" i="6"/>
  <c r="D32" i="6"/>
  <c r="D30" i="6"/>
  <c r="C30" i="6" s="1"/>
  <c r="E157" i="1"/>
  <c r="E28" i="6" s="1"/>
  <c r="D28" i="6"/>
  <c r="E11" i="7" s="1"/>
  <c r="D27" i="6"/>
  <c r="C26" i="6"/>
  <c r="C25" i="6"/>
  <c r="C28" i="6"/>
  <c r="C27" i="6" l="1"/>
  <c r="E10" i="7"/>
  <c r="C32" i="6"/>
  <c r="C34" i="6"/>
  <c r="C33" i="6"/>
  <c r="C45" i="6"/>
  <c r="E29" i="6"/>
  <c r="E33" i="6"/>
  <c r="C39" i="6" l="1"/>
  <c r="C13" i="6" l="1"/>
  <c r="C14" i="6"/>
  <c r="C20" i="6"/>
  <c r="C21" i="6"/>
  <c r="C22" i="6"/>
  <c r="C23" i="6"/>
  <c r="J136" i="1"/>
  <c r="J143" i="1"/>
  <c r="J129" i="1"/>
  <c r="J126" i="1" l="1"/>
  <c r="J122" i="1"/>
  <c r="D8" i="6"/>
  <c r="D7" i="6"/>
  <c r="C8" i="6" s="1"/>
  <c r="C7" i="6" l="1"/>
  <c r="C6" i="6"/>
  <c r="C5" i="6"/>
  <c r="I83" i="1" l="1"/>
  <c r="A216" i="1" s="1"/>
  <c r="E60" i="6" s="1"/>
  <c r="I82" i="1"/>
  <c r="A183" i="1" s="1"/>
  <c r="C1"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Tim Currie</author>
    <author>tcurrie</author>
  </authors>
  <commentList>
    <comment ref="A138" authorId="0" shapeId="0" xr:uid="{EC214E07-A4DF-486A-B1B6-7391000F5324}">
      <text>
        <r>
          <rPr>
            <b/>
            <sz val="9"/>
            <color indexed="81"/>
            <rFont val="Tahoma"/>
            <family val="2"/>
          </rPr>
          <t xml:space="preserve">PLEASE NOTE:
</t>
        </r>
        <r>
          <rPr>
            <sz val="9"/>
            <color indexed="81"/>
            <rFont val="Tahoma"/>
            <family val="2"/>
          </rPr>
          <t>the English language level has increased from B1 (intermediate) to</t>
        </r>
        <r>
          <rPr>
            <b/>
            <sz val="9"/>
            <color indexed="81"/>
            <rFont val="Tahoma"/>
            <family val="2"/>
          </rPr>
          <t xml:space="preserve"> B2 </t>
        </r>
        <r>
          <rPr>
            <sz val="9"/>
            <color indexed="81"/>
            <rFont val="Tahoma"/>
            <family val="2"/>
          </rPr>
          <t xml:space="preserve">(upper intermediate)
</t>
        </r>
      </text>
    </comment>
    <comment ref="I153" authorId="1" shapeId="0" xr:uid="{00000000-0006-0000-0200-000001000000}">
      <text>
        <r>
          <rPr>
            <b/>
            <sz val="9"/>
            <color indexed="81"/>
            <rFont val="Tahoma"/>
            <family val="2"/>
          </rPr>
          <t>If the appropriate title does not appear in the dropdown list enter it in this field</t>
        </r>
      </text>
    </comment>
  </commentList>
</comments>
</file>

<file path=xl/sharedStrings.xml><?xml version="1.0" encoding="utf-8"?>
<sst xmlns="http://schemas.openxmlformats.org/spreadsheetml/2006/main" count="2086" uniqueCount="1192">
  <si>
    <t>Cost Centre list</t>
  </si>
  <si>
    <t>Code</t>
  </si>
  <si>
    <t>Department</t>
  </si>
  <si>
    <t>AB</t>
  </si>
  <si>
    <t>Pitt Rivers Museum</t>
  </si>
  <si>
    <t>AC</t>
  </si>
  <si>
    <t>School of Geography and the Environment</t>
  </si>
  <si>
    <t>AE</t>
  </si>
  <si>
    <t>Social and Cultural Anthropology</t>
  </si>
  <si>
    <t>AF</t>
  </si>
  <si>
    <t>Environmental Change Institute</t>
  </si>
  <si>
    <t>AJ</t>
  </si>
  <si>
    <t>Target Discovery Institute</t>
  </si>
  <si>
    <t>AL</t>
  </si>
  <si>
    <t>Biochemistry</t>
  </si>
  <si>
    <t>AM</t>
  </si>
  <si>
    <t>Statistics</t>
  </si>
  <si>
    <t>AN</t>
  </si>
  <si>
    <t>Oncology</t>
  </si>
  <si>
    <t>AP</t>
  </si>
  <si>
    <t>AS</t>
  </si>
  <si>
    <t>Physiology</t>
  </si>
  <si>
    <t>AT</t>
  </si>
  <si>
    <t>AU</t>
  </si>
  <si>
    <t>AV</t>
  </si>
  <si>
    <t>Physiology Anatomy and Genetics</t>
  </si>
  <si>
    <t>AW</t>
  </si>
  <si>
    <t>Medawar Building</t>
  </si>
  <si>
    <t>AX</t>
  </si>
  <si>
    <t>English Faculty</t>
  </si>
  <si>
    <t>AZ</t>
  </si>
  <si>
    <t>KIR</t>
  </si>
  <si>
    <t>B2</t>
  </si>
  <si>
    <t>National Perinatal Epidemiology Unit</t>
  </si>
  <si>
    <t>B3</t>
  </si>
  <si>
    <t>Facilities and Site Services - Public Health</t>
  </si>
  <si>
    <t>B5</t>
  </si>
  <si>
    <t>Structural Biology</t>
  </si>
  <si>
    <t>B8</t>
  </si>
  <si>
    <t>Centre for Neural Circuits and Behaviour</t>
  </si>
  <si>
    <t>B9</t>
  </si>
  <si>
    <t>Tropical Medicine</t>
  </si>
  <si>
    <t>BA</t>
  </si>
  <si>
    <t>Law Faculty</t>
  </si>
  <si>
    <t>BB</t>
  </si>
  <si>
    <t>Cancer Centre</t>
  </si>
  <si>
    <t>BE</t>
  </si>
  <si>
    <t>Classics Faculty</t>
  </si>
  <si>
    <t>BH</t>
  </si>
  <si>
    <t>NDM Strategic</t>
  </si>
  <si>
    <t>BK</t>
  </si>
  <si>
    <t>Mathematical Institute</t>
  </si>
  <si>
    <t>BL</t>
  </si>
  <si>
    <t>Computer Science</t>
  </si>
  <si>
    <t>BQ</t>
  </si>
  <si>
    <t>Anatomy and Genetics - Research</t>
  </si>
  <si>
    <t>BR</t>
  </si>
  <si>
    <t>Medical Sciences Divisional Office</t>
  </si>
  <si>
    <t>BS</t>
  </si>
  <si>
    <t>Doctoral Training Centre - MSD</t>
  </si>
  <si>
    <t>BV</t>
  </si>
  <si>
    <t>Dunn School of Pathology</t>
  </si>
  <si>
    <t>BW</t>
  </si>
  <si>
    <t>Pharmacology</t>
  </si>
  <si>
    <t>BX</t>
  </si>
  <si>
    <t>Population Health</t>
  </si>
  <si>
    <t>BZ</t>
  </si>
  <si>
    <t>Primary Care Health Sciences</t>
  </si>
  <si>
    <t>C0</t>
  </si>
  <si>
    <t>Social Sciences Division</t>
  </si>
  <si>
    <t>CA</t>
  </si>
  <si>
    <t>Medieval and Modern Languages Faculty</t>
  </si>
  <si>
    <t>CC</t>
  </si>
  <si>
    <t>RDM</t>
  </si>
  <si>
    <t>CD</t>
  </si>
  <si>
    <t>History Faculty</t>
  </si>
  <si>
    <t>CF</t>
  </si>
  <si>
    <t>RDM Investigative Medicine</t>
  </si>
  <si>
    <t>CG</t>
  </si>
  <si>
    <t>Music Faculty</t>
  </si>
  <si>
    <t>CJ</t>
  </si>
  <si>
    <t>MRC Brain Network Dynamics Unit (BNDU)</t>
  </si>
  <si>
    <t>CK</t>
  </si>
  <si>
    <t>CQ</t>
  </si>
  <si>
    <t>Experimental Psychology</t>
  </si>
  <si>
    <t>CT</t>
  </si>
  <si>
    <t>Politics and International Relations</t>
  </si>
  <si>
    <t>CU</t>
  </si>
  <si>
    <t>Economics</t>
  </si>
  <si>
    <t>CV</t>
  </si>
  <si>
    <t>Social Policy and Intervention</t>
  </si>
  <si>
    <t>CX</t>
  </si>
  <si>
    <t>Socio-Legal Studies Centre</t>
  </si>
  <si>
    <t>CY</t>
  </si>
  <si>
    <t>Sociology</t>
  </si>
  <si>
    <t>CZ</t>
  </si>
  <si>
    <t>Oxford Internet Institute</t>
  </si>
  <si>
    <t>D3</t>
  </si>
  <si>
    <t>Social Sciences - HQ</t>
  </si>
  <si>
    <t>D4</t>
  </si>
  <si>
    <t>Maths Physical and Life Sciences</t>
  </si>
  <si>
    <t>DB</t>
  </si>
  <si>
    <t>Astrophysics</t>
  </si>
  <si>
    <t>DC</t>
  </si>
  <si>
    <t>Atmospheric Ocean and Planet Physics</t>
  </si>
  <si>
    <t>DD</t>
  </si>
  <si>
    <t>MPLS Doctoral Training Centre</t>
  </si>
  <si>
    <t>DF</t>
  </si>
  <si>
    <t>Engineering Science</t>
  </si>
  <si>
    <t>DG</t>
  </si>
  <si>
    <t>Earth Sciences</t>
  </si>
  <si>
    <t>DH</t>
  </si>
  <si>
    <t>Inorganic Chemistry</t>
  </si>
  <si>
    <t>DJ</t>
  </si>
  <si>
    <t>Materials</t>
  </si>
  <si>
    <t>DK</t>
  </si>
  <si>
    <t>Condensed Matter Physics</t>
  </si>
  <si>
    <t>DL</t>
  </si>
  <si>
    <t>Particle Physics</t>
  </si>
  <si>
    <t>DM</t>
  </si>
  <si>
    <t>Organic Chemistry</t>
  </si>
  <si>
    <t>DN</t>
  </si>
  <si>
    <t>Physical and Theoretical Chemistry</t>
  </si>
  <si>
    <t>DP</t>
  </si>
  <si>
    <t>Chemistry</t>
  </si>
  <si>
    <t>DQ</t>
  </si>
  <si>
    <t>Chemical Biology</t>
  </si>
  <si>
    <t>DR</t>
  </si>
  <si>
    <t>Theoretical Physics</t>
  </si>
  <si>
    <t>DS</t>
  </si>
  <si>
    <t>Begbroke Directorate</t>
  </si>
  <si>
    <t>DT</t>
  </si>
  <si>
    <t>Physics - Central</t>
  </si>
  <si>
    <t>DU</t>
  </si>
  <si>
    <t>Atomic and Laser Physics</t>
  </si>
  <si>
    <t>DW</t>
  </si>
  <si>
    <t>Chemistry Research Laboratory</t>
  </si>
  <si>
    <t>DX</t>
  </si>
  <si>
    <t>Theology and Religion Faculty</t>
  </si>
  <si>
    <t>E0</t>
  </si>
  <si>
    <t>Humanities Division Department</t>
  </si>
  <si>
    <t>E1</t>
  </si>
  <si>
    <t>Linguistics Philology and Phonetics</t>
  </si>
  <si>
    <t>E2</t>
  </si>
  <si>
    <t>IT Services</t>
  </si>
  <si>
    <t>E9</t>
  </si>
  <si>
    <t>Oxford e-Research Centre</t>
  </si>
  <si>
    <t>EB</t>
  </si>
  <si>
    <t>Archaeology Institute</t>
  </si>
  <si>
    <t>EC</t>
  </si>
  <si>
    <t>Archaeology Research Laboratory</t>
  </si>
  <si>
    <t>ED</t>
  </si>
  <si>
    <t>Ashmolean Museum</t>
  </si>
  <si>
    <t>EP</t>
  </si>
  <si>
    <t>Education</t>
  </si>
  <si>
    <t>EQ</t>
  </si>
  <si>
    <t>Continuing Education (Central)</t>
  </si>
  <si>
    <t>ET</t>
  </si>
  <si>
    <t>History of Science Museum</t>
  </si>
  <si>
    <t>EW</t>
  </si>
  <si>
    <t>Natural History Museum</t>
  </si>
  <si>
    <t>F0</t>
  </si>
  <si>
    <t>Academic Services Division Dept</t>
  </si>
  <si>
    <t>F5</t>
  </si>
  <si>
    <t>Finance and Administration</t>
  </si>
  <si>
    <t>F7</t>
  </si>
  <si>
    <t>Bodleian Communications</t>
  </si>
  <si>
    <t>F8</t>
  </si>
  <si>
    <t>Head of Assessment</t>
  </si>
  <si>
    <t>FA</t>
  </si>
  <si>
    <t>Central Bodleian</t>
  </si>
  <si>
    <t>FC</t>
  </si>
  <si>
    <t>Bodleian Social Sciences Libraries</t>
  </si>
  <si>
    <t>FJ</t>
  </si>
  <si>
    <t>Bodleian Enterprise</t>
  </si>
  <si>
    <t>FK</t>
  </si>
  <si>
    <t>Humanities Libraries</t>
  </si>
  <si>
    <t>FP</t>
  </si>
  <si>
    <t>Science and Medicine Libraries</t>
  </si>
  <si>
    <t>FS</t>
  </si>
  <si>
    <t>Bodleian Services</t>
  </si>
  <si>
    <t>FW</t>
  </si>
  <si>
    <t>Western Manuscripts and Special Collections</t>
  </si>
  <si>
    <t>FZ</t>
  </si>
  <si>
    <t>Bodleian Digital Library Systems and Services</t>
  </si>
  <si>
    <t>GB</t>
  </si>
  <si>
    <t>Careers Service</t>
  </si>
  <si>
    <t>GC</t>
  </si>
  <si>
    <t>Botanic Garden</t>
  </si>
  <si>
    <t>GD</t>
  </si>
  <si>
    <t>Sports Department</t>
  </si>
  <si>
    <t>GH</t>
  </si>
  <si>
    <t>Sheldonian Theatre</t>
  </si>
  <si>
    <t>GL</t>
  </si>
  <si>
    <t>Proctors Office</t>
  </si>
  <si>
    <t>GM</t>
  </si>
  <si>
    <t>University Club</t>
  </si>
  <si>
    <t>GP</t>
  </si>
  <si>
    <t>Ruskin School of Art</t>
  </si>
  <si>
    <t>GR</t>
  </si>
  <si>
    <t>Kellogg College</t>
  </si>
  <si>
    <t>GS</t>
  </si>
  <si>
    <t>St Cross College</t>
  </si>
  <si>
    <t>GT</t>
  </si>
  <si>
    <t>Student Welfare and Support Services</t>
  </si>
  <si>
    <t>GU</t>
  </si>
  <si>
    <t>Clubs Committee</t>
  </si>
  <si>
    <t>GY</t>
  </si>
  <si>
    <t>Safety Office</t>
  </si>
  <si>
    <t>GZ</t>
  </si>
  <si>
    <t>Occupational Health Service</t>
  </si>
  <si>
    <t>H2</t>
  </si>
  <si>
    <t>CCMP (Centre for Cellular and Molecular Physiology)</t>
  </si>
  <si>
    <t>H3</t>
  </si>
  <si>
    <t>CRUK/MRC Oxford Institute for Radiation Oncology</t>
  </si>
  <si>
    <t>H4</t>
  </si>
  <si>
    <t>RDM Clinical Laboratory Sciences</t>
  </si>
  <si>
    <t>H5</t>
  </si>
  <si>
    <t>H6</t>
  </si>
  <si>
    <t>Clinical Trial Service Unit</t>
  </si>
  <si>
    <t>H7</t>
  </si>
  <si>
    <t>RDM OCDEM</t>
  </si>
  <si>
    <t>H8</t>
  </si>
  <si>
    <t>Weatherall Institute of Molecular Medicine</t>
  </si>
  <si>
    <t>H9</t>
  </si>
  <si>
    <t>Structural Genomics Consortium</t>
  </si>
  <si>
    <t>HB</t>
  </si>
  <si>
    <t>NDM Experimental Medicine</t>
  </si>
  <si>
    <t>HC</t>
  </si>
  <si>
    <t>Jenner Institute</t>
  </si>
  <si>
    <t>HE</t>
  </si>
  <si>
    <t>HF</t>
  </si>
  <si>
    <t>NDORMS</t>
  </si>
  <si>
    <t>HI</t>
  </si>
  <si>
    <t>Cancer Epidemiology Unit</t>
  </si>
  <si>
    <t>HJ</t>
  </si>
  <si>
    <t>Surgical Sciences</t>
  </si>
  <si>
    <t>HM</t>
  </si>
  <si>
    <t>Clinical Neurosciences</t>
  </si>
  <si>
    <t>HN</t>
  </si>
  <si>
    <t>Paediatrics</t>
  </si>
  <si>
    <t>HP</t>
  </si>
  <si>
    <t>Oxford Ludwig Institute</t>
  </si>
  <si>
    <t>HQ</t>
  </si>
  <si>
    <t>Psychiatry</t>
  </si>
  <si>
    <t>HS</t>
  </si>
  <si>
    <t>RDM Cardiovascular Medicine</t>
  </si>
  <si>
    <t>HT</t>
  </si>
  <si>
    <t>Childhood Cancer Research Group</t>
  </si>
  <si>
    <t>J1</t>
  </si>
  <si>
    <t>Council Secretariat</t>
  </si>
  <si>
    <t>J3</t>
  </si>
  <si>
    <t>Graduate Admissions and Funding</t>
  </si>
  <si>
    <t>J4</t>
  </si>
  <si>
    <t>Divisional Offices</t>
  </si>
  <si>
    <t>J6</t>
  </si>
  <si>
    <t>Education Policy Support</t>
  </si>
  <si>
    <t>J9</t>
  </si>
  <si>
    <t>Student Administration and Services Directorate</t>
  </si>
  <si>
    <t>JC</t>
  </si>
  <si>
    <t>Newcomers Club</t>
  </si>
  <si>
    <t>JF</t>
  </si>
  <si>
    <t>Biomedical Services</t>
  </si>
  <si>
    <t>JG</t>
  </si>
  <si>
    <t>Centre for Criminology</t>
  </si>
  <si>
    <t>JQ</t>
  </si>
  <si>
    <t>Transport Studies Unit</t>
  </si>
  <si>
    <t>JT</t>
  </si>
  <si>
    <t>General Revenue Account</t>
  </si>
  <si>
    <t>JW</t>
  </si>
  <si>
    <t>Estates Services</t>
  </si>
  <si>
    <t>K3</t>
  </si>
  <si>
    <t>Oxford Learning Institute</t>
  </si>
  <si>
    <t>K8</t>
  </si>
  <si>
    <t>Planning and Resources</t>
  </si>
  <si>
    <t>K9</t>
  </si>
  <si>
    <t>Student Administration (Examinations)</t>
  </si>
  <si>
    <t>KA</t>
  </si>
  <si>
    <t>Academic Registrar Directorate</t>
  </si>
  <si>
    <t>KB</t>
  </si>
  <si>
    <t>Public Affairs Directorate</t>
  </si>
  <si>
    <t>KC</t>
  </si>
  <si>
    <t>Research Services</t>
  </si>
  <si>
    <t>KD</t>
  </si>
  <si>
    <t>Alumni Office</t>
  </si>
  <si>
    <t>KF</t>
  </si>
  <si>
    <t>Personnel Services</t>
  </si>
  <si>
    <t>KH</t>
  </si>
  <si>
    <t>Finance</t>
  </si>
  <si>
    <t>KK</t>
  </si>
  <si>
    <t>Child Care Services</t>
  </si>
  <si>
    <t>KM</t>
  </si>
  <si>
    <t>Vice-Chancellor and Registrar</t>
  </si>
  <si>
    <t>KN</t>
  </si>
  <si>
    <t>Legal Services Office</t>
  </si>
  <si>
    <t>KR</t>
  </si>
  <si>
    <t>Development Office</t>
  </si>
  <si>
    <t>KT</t>
  </si>
  <si>
    <t>Temporary Staffing Service</t>
  </si>
  <si>
    <t>LA</t>
  </si>
  <si>
    <t>Oxford-Man Institute</t>
  </si>
  <si>
    <t>LB</t>
  </si>
  <si>
    <t>Ageing Institute (OIA)</t>
  </si>
  <si>
    <t>LC</t>
  </si>
  <si>
    <t>Oxford Martin School</t>
  </si>
  <si>
    <t>LD</t>
  </si>
  <si>
    <t>Smith School</t>
  </si>
  <si>
    <t>LE</t>
  </si>
  <si>
    <t>Blavatnik School of Government</t>
  </si>
  <si>
    <t>M1</t>
  </si>
  <si>
    <t>Rothermere American Institute</t>
  </si>
  <si>
    <t>M3</t>
  </si>
  <si>
    <t>MQ</t>
  </si>
  <si>
    <t>Said Business School</t>
  </si>
  <si>
    <t>SZ</t>
  </si>
  <si>
    <t>Undergraduate Admissions and Outreach</t>
  </si>
  <si>
    <t>TA</t>
  </si>
  <si>
    <t>Scholarship Schemes</t>
  </si>
  <si>
    <t>V4</t>
  </si>
  <si>
    <t>Instruct</t>
  </si>
  <si>
    <t>V6</t>
  </si>
  <si>
    <t>OU (Beijing)</t>
  </si>
  <si>
    <t>V8</t>
  </si>
  <si>
    <t>Jenner Vaccine Foundation</t>
  </si>
  <si>
    <t>VA</t>
  </si>
  <si>
    <t>Language Centre</t>
  </si>
  <si>
    <t>VC</t>
  </si>
  <si>
    <t>Oxford University Student Union</t>
  </si>
  <si>
    <t>VD</t>
  </si>
  <si>
    <t>Voltaire Foundation Limited</t>
  </si>
  <si>
    <t>VF</t>
  </si>
  <si>
    <t>Voltaire Foundation</t>
  </si>
  <si>
    <t>VG</t>
  </si>
  <si>
    <t>International Development</t>
  </si>
  <si>
    <t>VH</t>
  </si>
  <si>
    <t>Business Economics Programme</t>
  </si>
  <si>
    <t>VJ</t>
  </si>
  <si>
    <t>Student Financial Support</t>
  </si>
  <si>
    <t>VL</t>
  </si>
  <si>
    <t>OUFAL</t>
  </si>
  <si>
    <t>VM</t>
  </si>
  <si>
    <t>Oxford Said Business School Limited</t>
  </si>
  <si>
    <t>VO</t>
  </si>
  <si>
    <t>OSEM</t>
  </si>
  <si>
    <t>VP</t>
  </si>
  <si>
    <t>Gray Cancer Institute</t>
  </si>
  <si>
    <t>VR</t>
  </si>
  <si>
    <t>Nuffield Dominions Trust</t>
  </si>
  <si>
    <t>VU</t>
  </si>
  <si>
    <t>OUEM</t>
  </si>
  <si>
    <t>VW</t>
  </si>
  <si>
    <t>Oxford Limited</t>
  </si>
  <si>
    <t>VY</t>
  </si>
  <si>
    <t>Isis Innovation Limited</t>
  </si>
  <si>
    <t>X1</t>
  </si>
  <si>
    <t>Oxford Mutual Limited</t>
  </si>
  <si>
    <t>XA</t>
  </si>
  <si>
    <t>Continuing Education (International Programmes)</t>
  </si>
  <si>
    <t>XB</t>
  </si>
  <si>
    <t>Continuing Education (CPD Courses)</t>
  </si>
  <si>
    <t>XD</t>
  </si>
  <si>
    <t>Continuing Education (TALL)</t>
  </si>
  <si>
    <t>XF</t>
  </si>
  <si>
    <t>Continuing Education (Residential Centre)</t>
  </si>
  <si>
    <t>XG</t>
  </si>
  <si>
    <t>Continuing Education (Public Programmes)</t>
  </si>
  <si>
    <t>YD</t>
  </si>
  <si>
    <t>Philosophy Faculty</t>
  </si>
  <si>
    <t>ZB</t>
  </si>
  <si>
    <t>Investment Management</t>
  </si>
  <si>
    <t>ZE</t>
  </si>
  <si>
    <t>Oxford University Development Trust</t>
  </si>
  <si>
    <t>Updated as of:</t>
  </si>
  <si>
    <t>Country of Nationality list</t>
  </si>
  <si>
    <t>Country of birth list</t>
  </si>
  <si>
    <t>Country of residence list</t>
  </si>
  <si>
    <t>REFERENCE LISTS</t>
  </si>
  <si>
    <t>Title</t>
  </si>
  <si>
    <t>Gender</t>
  </si>
  <si>
    <t>- select -</t>
  </si>
  <si>
    <t>Afghanistan</t>
  </si>
  <si>
    <t>Public Holidays</t>
  </si>
  <si>
    <t>Prof</t>
  </si>
  <si>
    <t>Male</t>
  </si>
  <si>
    <t>Yes</t>
  </si>
  <si>
    <t>Aland Islands</t>
  </si>
  <si>
    <t>Austria</t>
  </si>
  <si>
    <t>Monday</t>
  </si>
  <si>
    <t>New Year’s Day</t>
  </si>
  <si>
    <t>Dr</t>
  </si>
  <si>
    <t>Female</t>
  </si>
  <si>
    <t>No</t>
  </si>
  <si>
    <t>Albania</t>
  </si>
  <si>
    <t>Algeria</t>
  </si>
  <si>
    <t>Belgium</t>
  </si>
  <si>
    <t>Friday</t>
  </si>
  <si>
    <t>Good Friday</t>
  </si>
  <si>
    <t>Mr</t>
  </si>
  <si>
    <t>Argentina</t>
  </si>
  <si>
    <t>Bulgaria</t>
  </si>
  <si>
    <t>Angola</t>
  </si>
  <si>
    <t>Easter Monday</t>
  </si>
  <si>
    <t>Mrs</t>
  </si>
  <si>
    <t>threshold (days)</t>
  </si>
  <si>
    <t>American Samoa</t>
  </si>
  <si>
    <t>Armenia</t>
  </si>
  <si>
    <t>Early May bank holiday</t>
  </si>
  <si>
    <t>Ms</t>
  </si>
  <si>
    <t>Andorra</t>
  </si>
  <si>
    <t>Azerbaijan</t>
  </si>
  <si>
    <t>Czech Republic</t>
  </si>
  <si>
    <t>Spring bank holiday</t>
  </si>
  <si>
    <t>Miss</t>
  </si>
  <si>
    <t>Bahrain</t>
  </si>
  <si>
    <t>Denmark</t>
  </si>
  <si>
    <t>Bangladesh</t>
  </si>
  <si>
    <t>Summer bank holiday</t>
  </si>
  <si>
    <t>Rev</t>
  </si>
  <si>
    <t>Immigration Skills Charge (ISC) p.a.</t>
  </si>
  <si>
    <t>Anguilla</t>
  </si>
  <si>
    <t>Belarus</t>
  </si>
  <si>
    <t>Estonia</t>
  </si>
  <si>
    <t>Christmas Day</t>
  </si>
  <si>
    <t>Right Hon</t>
  </si>
  <si>
    <t>Antarctica</t>
  </si>
  <si>
    <t>Bolivia</t>
  </si>
  <si>
    <t>Finland</t>
  </si>
  <si>
    <t>Benin</t>
  </si>
  <si>
    <t>Boxing Day</t>
  </si>
  <si>
    <t>Ambassador</t>
  </si>
  <si>
    <t>Antigua and Barbuda</t>
  </si>
  <si>
    <t>Brazil</t>
  </si>
  <si>
    <t>France</t>
  </si>
  <si>
    <t>Bhutan</t>
  </si>
  <si>
    <t>China</t>
  </si>
  <si>
    <t>Germany</t>
  </si>
  <si>
    <t>Colombia</t>
  </si>
  <si>
    <t>Greece</t>
  </si>
  <si>
    <t>Botswana</t>
  </si>
  <si>
    <t>Aruba</t>
  </si>
  <si>
    <t>Cuba</t>
  </si>
  <si>
    <t>Hungary</t>
  </si>
  <si>
    <t>Brunei Darussalam</t>
  </si>
  <si>
    <t>Paid per …</t>
  </si>
  <si>
    <t>Australia</t>
  </si>
  <si>
    <t>Egypt</t>
  </si>
  <si>
    <t>Iceland</t>
  </si>
  <si>
    <t>Burkina Faso</t>
  </si>
  <si>
    <t>Georgia</t>
  </si>
  <si>
    <t>Ireland</t>
  </si>
  <si>
    <t>Burma</t>
  </si>
  <si>
    <t>Year</t>
  </si>
  <si>
    <t>Iran, Islamic Republic Of</t>
  </si>
  <si>
    <t>Italy</t>
  </si>
  <si>
    <t>Burundi</t>
  </si>
  <si>
    <t>Month</t>
  </si>
  <si>
    <t>Bahamas</t>
  </si>
  <si>
    <t>Iraq</t>
  </si>
  <si>
    <t>Latvia</t>
  </si>
  <si>
    <t>Cambodia</t>
  </si>
  <si>
    <t>Wednesday</t>
  </si>
  <si>
    <t>Week</t>
  </si>
  <si>
    <t>Israel</t>
  </si>
  <si>
    <t>Liechtenstein</t>
  </si>
  <si>
    <t>Cape Verde</t>
  </si>
  <si>
    <t>Day</t>
  </si>
  <si>
    <t>Jordan</t>
  </si>
  <si>
    <t>Lithuania</t>
  </si>
  <si>
    <t>Central African Republic</t>
  </si>
  <si>
    <t>Hour</t>
  </si>
  <si>
    <t>Barbados</t>
  </si>
  <si>
    <t>Kazakhstan</t>
  </si>
  <si>
    <t>Luxembourg</t>
  </si>
  <si>
    <t>Chad</t>
  </si>
  <si>
    <t>Visit / Contract ?</t>
  </si>
  <si>
    <t>Kuwait</t>
  </si>
  <si>
    <t>Malta</t>
  </si>
  <si>
    <t>Cameroon</t>
  </si>
  <si>
    <t>Kyrgyzstan</t>
  </si>
  <si>
    <t>Netherlands</t>
  </si>
  <si>
    <t>Belize</t>
  </si>
  <si>
    <t>Lebanon</t>
  </si>
  <si>
    <t>Norway</t>
  </si>
  <si>
    <t>Congo</t>
  </si>
  <si>
    <t>Libya</t>
  </si>
  <si>
    <t>Poland</t>
  </si>
  <si>
    <t>Congo Democratic Republic</t>
  </si>
  <si>
    <t>Bermuda</t>
  </si>
  <si>
    <t>Moldova, Republic of</t>
  </si>
  <si>
    <t>Portugal</t>
  </si>
  <si>
    <t>Côte d’Ivoire</t>
  </si>
  <si>
    <t>Morocco</t>
  </si>
  <si>
    <t>Romania</t>
  </si>
  <si>
    <t>Democratic People's Republic of Korea (North Korea)</t>
  </si>
  <si>
    <t>Slovakia</t>
  </si>
  <si>
    <t>Djibouti</t>
  </si>
  <si>
    <t>Bonaire, Sint Eustatuis &amp; Saba</t>
  </si>
  <si>
    <t>Oman</t>
  </si>
  <si>
    <t>Slovenia</t>
  </si>
  <si>
    <t>Dominican Republic</t>
  </si>
  <si>
    <t>Bosnia and Herzegovina</t>
  </si>
  <si>
    <t>Palestine Occupied Territory</t>
  </si>
  <si>
    <t>Spain</t>
  </si>
  <si>
    <t>Ecuador</t>
  </si>
  <si>
    <t>Peru</t>
  </si>
  <si>
    <t>Sweden</t>
  </si>
  <si>
    <t>Equatorial Guinea</t>
  </si>
  <si>
    <t>Bouvet Island</t>
  </si>
  <si>
    <t>Qatar</t>
  </si>
  <si>
    <t>Switzerland</t>
  </si>
  <si>
    <t>Eritrea</t>
  </si>
  <si>
    <t>Russian Federation</t>
  </si>
  <si>
    <t>United Kingdom</t>
  </si>
  <si>
    <t>Ethiopia</t>
  </si>
  <si>
    <t>British Citizen</t>
  </si>
  <si>
    <t>British Indean Ocean Territory</t>
  </si>
  <si>
    <t>Saudi Arabia</t>
  </si>
  <si>
    <t>Gabon</t>
  </si>
  <si>
    <t>Sudan</t>
  </si>
  <si>
    <t>Gambia</t>
  </si>
  <si>
    <t>British National (Overseas)</t>
  </si>
  <si>
    <t>Syria Arab Republic</t>
  </si>
  <si>
    <t>British Overseas Citizen</t>
  </si>
  <si>
    <t>Tajikistan</t>
  </si>
  <si>
    <t>Ghana</t>
  </si>
  <si>
    <t>British Overseas Territories Citizenship (BOTC)</t>
  </si>
  <si>
    <t>Tunisia</t>
  </si>
  <si>
    <t>Guatemala</t>
  </si>
  <si>
    <t>British Protected Person</t>
  </si>
  <si>
    <t>Turkey</t>
  </si>
  <si>
    <t>Guinea</t>
  </si>
  <si>
    <t>British Subject</t>
  </si>
  <si>
    <t>Turkmenistan</t>
  </si>
  <si>
    <t>Guinea Bissau</t>
  </si>
  <si>
    <t>Canada</t>
  </si>
  <si>
    <t>United Arab Emirates</t>
  </si>
  <si>
    <t>Guyana</t>
  </si>
  <si>
    <t>Ukraine</t>
  </si>
  <si>
    <t>Haiti</t>
  </si>
  <si>
    <t>Cayman Islands</t>
  </si>
  <si>
    <t>Uzbekistan</t>
  </si>
  <si>
    <t>Hong Kong or Macau</t>
  </si>
  <si>
    <t>Yemen</t>
  </si>
  <si>
    <t>India</t>
  </si>
  <si>
    <t>Indonesia</t>
  </si>
  <si>
    <t>Chile</t>
  </si>
  <si>
    <t>Christmas Island</t>
  </si>
  <si>
    <t>Kenya</t>
  </si>
  <si>
    <t>Cocos (Keeling) Islands</t>
  </si>
  <si>
    <t>Kiribati</t>
  </si>
  <si>
    <t>Korea</t>
  </si>
  <si>
    <t>Comoros</t>
  </si>
  <si>
    <t>Laos</t>
  </si>
  <si>
    <t>Cook Islands</t>
  </si>
  <si>
    <t>Lesotho</t>
  </si>
  <si>
    <t>Costa Rica</t>
  </si>
  <si>
    <t>Liberia</t>
  </si>
  <si>
    <t>Cote D'Ivoire (Ivory Coast)</t>
  </si>
  <si>
    <t>Madagascar</t>
  </si>
  <si>
    <t>Croatia</t>
  </si>
  <si>
    <t>Malawi</t>
  </si>
  <si>
    <t>Malaysia</t>
  </si>
  <si>
    <t>Curacao</t>
  </si>
  <si>
    <t>Mali</t>
  </si>
  <si>
    <t>Cyprus (Republic of Cyprus)</t>
  </si>
  <si>
    <t>Marshall Islands</t>
  </si>
  <si>
    <t>Mauritania</t>
  </si>
  <si>
    <t>Micronesia</t>
  </si>
  <si>
    <t>Democratic Republic of the Congo</t>
  </si>
  <si>
    <t>Moldova</t>
  </si>
  <si>
    <t>Mongolia</t>
  </si>
  <si>
    <t>Dominica</t>
  </si>
  <si>
    <t>Mozambique</t>
  </si>
  <si>
    <t>Namibia</t>
  </si>
  <si>
    <t>Nepal</t>
  </si>
  <si>
    <t>Niger</t>
  </si>
  <si>
    <t>El Salvador</t>
  </si>
  <si>
    <t>Nigeria</t>
  </si>
  <si>
    <t>Pakistan</t>
  </si>
  <si>
    <t>Palau</t>
  </si>
  <si>
    <t>Papua New Guinea</t>
  </si>
  <si>
    <t>Panama</t>
  </si>
  <si>
    <t>Falkland Islands</t>
  </si>
  <si>
    <t>Paraguay</t>
  </si>
  <si>
    <t>Faroe Islands (The Faroes)</t>
  </si>
  <si>
    <t>Fiji</t>
  </si>
  <si>
    <t>Philippines</t>
  </si>
  <si>
    <t>Rwanda</t>
  </si>
  <si>
    <t>French Guiana</t>
  </si>
  <si>
    <t>Sao Tome and Principe</t>
  </si>
  <si>
    <t>French Polynesia</t>
  </si>
  <si>
    <t>Senegal</t>
  </si>
  <si>
    <t>Sierra Leone</t>
  </si>
  <si>
    <t>Solomon Islands</t>
  </si>
  <si>
    <t>Somalia</t>
  </si>
  <si>
    <t>South Africa</t>
  </si>
  <si>
    <t>South Sudan</t>
  </si>
  <si>
    <t>Gibraltar</t>
  </si>
  <si>
    <t>Sri Lanka</t>
  </si>
  <si>
    <t>Greenland</t>
  </si>
  <si>
    <t>Suriname</t>
  </si>
  <si>
    <t>Grenada</t>
  </si>
  <si>
    <t>Swaziland</t>
  </si>
  <si>
    <t>Guadeloupe</t>
  </si>
  <si>
    <t>Guam</t>
  </si>
  <si>
    <t>Tanzania</t>
  </si>
  <si>
    <t>Thailand</t>
  </si>
  <si>
    <t>Guernsey</t>
  </si>
  <si>
    <t>Timor Leste</t>
  </si>
  <si>
    <t>Togo</t>
  </si>
  <si>
    <t>Guinea-Bissau</t>
  </si>
  <si>
    <t>Tuvalu</t>
  </si>
  <si>
    <t>Uganda</t>
  </si>
  <si>
    <t>Heard and McDonald Islands</t>
  </si>
  <si>
    <t>Holy See (Vatican City State)</t>
  </si>
  <si>
    <t>Honduras</t>
  </si>
  <si>
    <t>Vanuatu</t>
  </si>
  <si>
    <t>Hong Kong (Special Administrative Region of China)</t>
  </si>
  <si>
    <t>Vietnam</t>
  </si>
  <si>
    <t>Zambia</t>
  </si>
  <si>
    <t>Zimbabwe</t>
  </si>
  <si>
    <t>Isle of Man</t>
  </si>
  <si>
    <t>Jamaica</t>
  </si>
  <si>
    <t>Japan</t>
  </si>
  <si>
    <t>Jersey</t>
  </si>
  <si>
    <t>Kosovo</t>
  </si>
  <si>
    <t>Lao People's Democratic Republic</t>
  </si>
  <si>
    <t>Macau</t>
  </si>
  <si>
    <t>Maldives</t>
  </si>
  <si>
    <t>Martinique</t>
  </si>
  <si>
    <t>Mauritius</t>
  </si>
  <si>
    <t>Mayette</t>
  </si>
  <si>
    <t>Mexico</t>
  </si>
  <si>
    <t>Micronesia (Federated States of)</t>
  </si>
  <si>
    <t>Monaco</t>
  </si>
  <si>
    <t>Montenegro</t>
  </si>
  <si>
    <t>Montserrat</t>
  </si>
  <si>
    <t>Myanmar (Burma)</t>
  </si>
  <si>
    <t>Nauru</t>
  </si>
  <si>
    <t>New Caledonia</t>
  </si>
  <si>
    <t>New Zealand</t>
  </si>
  <si>
    <t>Nicaragua</t>
  </si>
  <si>
    <t>Nationality Currently Unkown</t>
  </si>
  <si>
    <t>Niue</t>
  </si>
  <si>
    <t>Norfork Island</t>
  </si>
  <si>
    <t>Northern Mariana Islands</t>
  </si>
  <si>
    <t>Officially Stateless</t>
  </si>
  <si>
    <t>Pitcairn (&amp; Henderson, Dulcie and Oeno Islands)</t>
  </si>
  <si>
    <t>Puerto Rico</t>
  </si>
  <si>
    <t>Reunion</t>
  </si>
  <si>
    <r>
      <t xml:space="preserve">Pitcairn </t>
    </r>
    <r>
      <rPr>
        <sz val="11"/>
        <color rgb="FFFF0000"/>
        <rFont val="Calibri"/>
        <family val="2"/>
        <scheme val="minor"/>
      </rPr>
      <t>(&amp; Henderson, Dulcie and Oeno Islands)</t>
    </r>
  </si>
  <si>
    <t>Saint Barthelemy</t>
  </si>
  <si>
    <t>Saint Helena, Ascencion and Tristan da Cunha</t>
  </si>
  <si>
    <t>Saint Kitts and Nevis</t>
  </si>
  <si>
    <t>Saint Lucia</t>
  </si>
  <si>
    <t>Refugee - Article 1 of the 1951 Convention</t>
  </si>
  <si>
    <t>Saint Martin</t>
  </si>
  <si>
    <t>Saint Pierre and Miquelon</t>
  </si>
  <si>
    <t>Saint Vincent and the Grenadines</t>
  </si>
  <si>
    <t>Samoa (and Western Samoa)</t>
  </si>
  <si>
    <t>San Marino</t>
  </si>
  <si>
    <t>Serbia</t>
  </si>
  <si>
    <t>Seychelles</t>
  </si>
  <si>
    <t>Singapore</t>
  </si>
  <si>
    <r>
      <t xml:space="preserve">Samoa </t>
    </r>
    <r>
      <rPr>
        <sz val="11"/>
        <color rgb="FFFF0000"/>
        <rFont val="Calibri"/>
        <family val="2"/>
        <scheme val="minor"/>
      </rPr>
      <t>(and Western Samoa)</t>
    </r>
  </si>
  <si>
    <t>Sint Maarten (Dutch Part)</t>
  </si>
  <si>
    <t>South Georgia and the South Sandwich Islands</t>
  </si>
  <si>
    <t>South Korea (Republic of Korea)</t>
  </si>
  <si>
    <t>Svalbard and Jan Mayen Islands</t>
  </si>
  <si>
    <t>Taiwan (Republic of China)</t>
  </si>
  <si>
    <t>Stateless Person (Article 1 of 1954 Convention)</t>
  </si>
  <si>
    <t>Tanzania, United Republic Of</t>
  </si>
  <si>
    <t>Stateless Refugee Other</t>
  </si>
  <si>
    <t>Timor-Leste (East Timor)</t>
  </si>
  <si>
    <t>Tokelau</t>
  </si>
  <si>
    <t>Tonga</t>
  </si>
  <si>
    <t>Trinidad and Tobago</t>
  </si>
  <si>
    <t>Turkish Controlled Area of Cyprus</t>
  </si>
  <si>
    <t>Turks and Caicos Islands</t>
  </si>
  <si>
    <t>UK</t>
  </si>
  <si>
    <t>United Nations</t>
  </si>
  <si>
    <t>United Nations Agency</t>
  </si>
  <si>
    <t>United States Minor Outlying Islands</t>
  </si>
  <si>
    <t>USA</t>
  </si>
  <si>
    <t>United States of America</t>
  </si>
  <si>
    <t>Uruguay</t>
  </si>
  <si>
    <t>USSR</t>
  </si>
  <si>
    <t>Venezuela</t>
  </si>
  <si>
    <t>Virgin Islands, British</t>
  </si>
  <si>
    <t>Virgin Islands, U.S.</t>
  </si>
  <si>
    <t>Wallis and Futuna Islands</t>
  </si>
  <si>
    <t>Western Sahara</t>
  </si>
  <si>
    <t>Unspecified Nationality</t>
  </si>
  <si>
    <t>Yugoslavia</t>
  </si>
  <si>
    <t>--- CHECKBOXES &amp; COMMENT BOXES FOR SIT USE ONLY ---</t>
  </si>
  <si>
    <t xml:space="preserve">Please complete this form when applying for a Certificate of Sponsorship (CoS) &amp; return to the Staff Immigration Team, along with the necessary supporting documents listed at the end of the form. </t>
  </si>
  <si>
    <t>Should you have any queries regarding CoS requirements, please do not hesitate to contact us.</t>
  </si>
  <si>
    <t>Thank you</t>
  </si>
  <si>
    <t>Staff Immigration Team</t>
  </si>
  <si>
    <t>Signed applications should be sent via email to the Staff Immigration Team at:</t>
  </si>
  <si>
    <t>It is not possible for the Staff Immigration Team to consider incomplete applications. Please ensure, therefore, that you provide all of the required information.</t>
  </si>
  <si>
    <t>Application eligibility</t>
  </si>
  <si>
    <t>It is important that the information provided on the Certificate of Sponsorship application is accurate since this information must match the information provided by the applicant on their leave to enter/remain (visa) application.</t>
  </si>
  <si>
    <t>Page 1</t>
  </si>
  <si>
    <t>Page 2</t>
  </si>
  <si>
    <t>Page 3</t>
  </si>
  <si>
    <t>Page 4</t>
  </si>
  <si>
    <t>Page 5</t>
  </si>
  <si>
    <t>Page 6</t>
  </si>
  <si>
    <t>1st Tier 2 issued</t>
  </si>
  <si>
    <t>Previous Tier 2 visas</t>
  </si>
  <si>
    <t>English Language requirement</t>
  </si>
  <si>
    <t>Delays can be encountered when an applicant needs to take a Secure English Language Test (SELT), or obtain verification from UK NARIC that their qualification was taught in English, to meet the English Language requirement. Please confirm how the applicant will meet this requirement:</t>
  </si>
  <si>
    <t>National of English speaking country</t>
  </si>
  <si>
    <t xml:space="preserve">the list of English speaking countries whose nationals automatically meet the requirement can be found on the Home Office website at: </t>
  </si>
  <si>
    <t>Qualification from UK University</t>
  </si>
  <si>
    <t>Qualification verified by UK NARIC</t>
  </si>
  <si>
    <t>English language test</t>
  </si>
  <si>
    <t>Met when applying for previous visa</t>
  </si>
  <si>
    <t>list of approved English language test providers and centres</t>
  </si>
  <si>
    <r>
      <t xml:space="preserve">either ‘Academic’ or ‘General’ English tests are acceptable </t>
    </r>
    <r>
      <rPr>
        <i/>
        <u/>
        <sz val="10"/>
        <color theme="1"/>
        <rFont val="Arial"/>
        <family val="2"/>
      </rPr>
      <t>but it must be an approved 'for UKVI' test sat at an approved centre</t>
    </r>
    <r>
      <rPr>
        <i/>
        <sz val="10"/>
        <color theme="1"/>
        <rFont val="Arial"/>
        <family val="2"/>
      </rPr>
      <t xml:space="preserve">, see the Home Office’s website for the </t>
    </r>
  </si>
  <si>
    <t xml:space="preserve">Further info on the English Language requirement can be found on the Home Office website at: </t>
  </si>
  <si>
    <r>
      <t xml:space="preserve">Certified for main applicant </t>
    </r>
    <r>
      <rPr>
        <u/>
        <sz val="11"/>
        <color theme="1"/>
        <rFont val="Calibri"/>
        <family val="2"/>
        <scheme val="minor"/>
      </rPr>
      <t>AND</t>
    </r>
    <r>
      <rPr>
        <sz val="11"/>
        <color theme="1"/>
        <rFont val="Calibri"/>
        <family val="2"/>
        <scheme val="minor"/>
      </rPr>
      <t xml:space="preserve"> dependants</t>
    </r>
  </si>
  <si>
    <r>
      <t xml:space="preserve">Certified for main app but </t>
    </r>
    <r>
      <rPr>
        <u/>
        <sz val="11"/>
        <color theme="1"/>
        <rFont val="Calibri"/>
        <family val="2"/>
        <scheme val="minor"/>
      </rPr>
      <t>NOT</t>
    </r>
    <r>
      <rPr>
        <sz val="11"/>
        <color theme="1"/>
        <rFont val="Calibri"/>
        <family val="2"/>
        <scheme val="minor"/>
      </rPr>
      <t xml:space="preserve"> dependants</t>
    </r>
  </si>
  <si>
    <r>
      <rPr>
        <u/>
        <sz val="11"/>
        <color theme="1"/>
        <rFont val="Calibri"/>
        <family val="2"/>
        <scheme val="minor"/>
      </rPr>
      <t>NOT</t>
    </r>
    <r>
      <rPr>
        <sz val="11"/>
        <color theme="1"/>
        <rFont val="Calibri"/>
        <family val="2"/>
        <scheme val="minor"/>
      </rPr>
      <t xml:space="preserve"> certified for main app </t>
    </r>
    <r>
      <rPr>
        <u/>
        <sz val="11"/>
        <color theme="1"/>
        <rFont val="Calibri"/>
        <family val="2"/>
        <scheme val="minor"/>
      </rPr>
      <t>NOR</t>
    </r>
    <r>
      <rPr>
        <sz val="11"/>
        <color theme="1"/>
        <rFont val="Calibri"/>
        <family val="2"/>
        <scheme val="minor"/>
      </rPr>
      <t xml:space="preserve"> dependants</t>
    </r>
  </si>
  <si>
    <t>Passport Information</t>
  </si>
  <si>
    <t>Please complete the following personal information in full.  Please complete personal details as they appear in the applicant’s passport, where applicable.</t>
  </si>
  <si>
    <r>
      <t xml:space="preserve">Title (e.g. Prof, Dr, Mr, Mrs, Ms etc.) - </t>
    </r>
    <r>
      <rPr>
        <sz val="11"/>
        <color theme="1"/>
        <rFont val="Arial"/>
        <family val="2"/>
      </rPr>
      <t>[</t>
    </r>
    <r>
      <rPr>
        <i/>
        <sz val="11"/>
        <color theme="1"/>
        <rFont val="Arial"/>
        <family val="2"/>
      </rPr>
      <t>not normally listed in passport</t>
    </r>
    <r>
      <rPr>
        <sz val="11"/>
        <color theme="1"/>
        <rFont val="Arial"/>
        <family val="2"/>
      </rPr>
      <t>]</t>
    </r>
  </si>
  <si>
    <t>Last name</t>
  </si>
  <si>
    <r>
      <rPr>
        <b/>
        <sz val="11"/>
        <color theme="1"/>
        <rFont val="Arial"/>
        <family val="2"/>
      </rPr>
      <t>First name(s)</t>
    </r>
    <r>
      <rPr>
        <sz val="11"/>
        <color theme="1"/>
        <rFont val="Arial"/>
        <family val="2"/>
      </rPr>
      <t xml:space="preserve"> - [</t>
    </r>
    <r>
      <rPr>
        <i/>
        <sz val="11"/>
        <color theme="1"/>
        <rFont val="Arial"/>
        <family val="2"/>
      </rPr>
      <t>incl. middle name(s)</t>
    </r>
    <r>
      <rPr>
        <sz val="11"/>
        <color theme="1"/>
        <rFont val="Arial"/>
        <family val="2"/>
      </rPr>
      <t>]</t>
    </r>
  </si>
  <si>
    <r>
      <rPr>
        <b/>
        <sz val="11"/>
        <color theme="1"/>
        <rFont val="Arial"/>
        <family val="2"/>
      </rPr>
      <t>Other name(s)</t>
    </r>
    <r>
      <rPr>
        <sz val="11"/>
        <color theme="1"/>
        <rFont val="Arial"/>
        <family val="2"/>
      </rPr>
      <t xml:space="preserve"> - [</t>
    </r>
    <r>
      <rPr>
        <i/>
        <sz val="11"/>
        <color theme="1"/>
        <rFont val="Arial"/>
        <family val="2"/>
      </rPr>
      <t>incl. previous name(s)</t>
    </r>
    <r>
      <rPr>
        <sz val="11"/>
        <color theme="1"/>
        <rFont val="Arial"/>
        <family val="2"/>
      </rPr>
      <t>]</t>
    </r>
  </si>
  <si>
    <t>Country of Nationality</t>
  </si>
  <si>
    <t>City of birth</t>
  </si>
  <si>
    <t>Country of birth</t>
  </si>
  <si>
    <t>Does the applicant hold any other nationalities?</t>
  </si>
  <si>
    <t>Additional Country of Nationality 1</t>
  </si>
  <si>
    <t>Additional Country of Nationality 2</t>
  </si>
  <si>
    <t>First name(s)</t>
  </si>
  <si>
    <t>Other name(s)</t>
  </si>
  <si>
    <t>Nationality</t>
  </si>
  <si>
    <t>Other nationalities?</t>
  </si>
  <si>
    <t>Add. Nationality 1</t>
  </si>
  <si>
    <t>Add. Nationality 2</t>
  </si>
  <si>
    <r>
      <t>Date of birth</t>
    </r>
    <r>
      <rPr>
        <sz val="11"/>
        <color theme="1"/>
        <rFont val="Arial"/>
        <family val="2"/>
      </rPr>
      <t xml:space="preserve"> - </t>
    </r>
    <r>
      <rPr>
        <i/>
        <sz val="11"/>
        <color theme="1"/>
        <rFont val="Arial"/>
        <family val="2"/>
      </rPr>
      <t>DD/MM/YYYY</t>
    </r>
  </si>
  <si>
    <t>CoS only lists Male or Female</t>
  </si>
  <si>
    <t>Passport number</t>
  </si>
  <si>
    <r>
      <t>Passport issue date</t>
    </r>
    <r>
      <rPr>
        <sz val="11"/>
        <color theme="1"/>
        <rFont val="Arial"/>
        <family val="2"/>
      </rPr>
      <t xml:space="preserve"> - </t>
    </r>
    <r>
      <rPr>
        <i/>
        <sz val="11"/>
        <color theme="1"/>
        <rFont val="Arial"/>
        <family val="2"/>
      </rPr>
      <t>DD/MM/YYYY</t>
    </r>
  </si>
  <si>
    <r>
      <t>Passport expiry date</t>
    </r>
    <r>
      <rPr>
        <i/>
        <sz val="11"/>
        <color theme="1"/>
        <rFont val="Arial"/>
        <family val="2"/>
      </rPr>
      <t xml:space="preserve"> - DD/MM/YYYY</t>
    </r>
  </si>
  <si>
    <t>Passport place of issue (CITY)</t>
  </si>
  <si>
    <t>Passport place of issue (COUNTRY)</t>
  </si>
  <si>
    <t>Date of birth</t>
  </si>
  <si>
    <t>Passport issue date</t>
  </si>
  <si>
    <t>Passport expiry date</t>
  </si>
  <si>
    <t>Applicant’s contact details</t>
  </si>
  <si>
    <t xml:space="preserve">Country of residence </t>
  </si>
  <si>
    <t>Full residential address</t>
  </si>
  <si>
    <t>City or Town</t>
  </si>
  <si>
    <t>County, area district or province</t>
  </si>
  <si>
    <t>Post code</t>
  </si>
  <si>
    <t>Email address</t>
  </si>
  <si>
    <t>Address line 1</t>
  </si>
  <si>
    <t>Address line 2</t>
  </si>
  <si>
    <t>Address line 3</t>
  </si>
  <si>
    <t>Identification numbers</t>
  </si>
  <si>
    <r>
      <t xml:space="preserve">Applicant is applying from </t>
    </r>
    <r>
      <rPr>
        <b/>
        <u/>
        <sz val="12"/>
        <color theme="1"/>
        <rFont val="Calibri"/>
        <family val="2"/>
        <scheme val="minor"/>
      </rPr>
      <t>OUTSIDE</t>
    </r>
    <r>
      <rPr>
        <u/>
        <sz val="11"/>
        <color theme="1"/>
        <rFont val="Calibri"/>
        <family val="2"/>
        <scheme val="minor"/>
      </rPr>
      <t xml:space="preserve"> the UK</t>
    </r>
  </si>
  <si>
    <r>
      <t xml:space="preserve">Applicant is applying </t>
    </r>
    <r>
      <rPr>
        <b/>
        <u/>
        <sz val="12"/>
        <color theme="1"/>
        <rFont val="Calibri"/>
        <family val="2"/>
        <scheme val="minor"/>
      </rPr>
      <t>IN</t>
    </r>
    <r>
      <rPr>
        <u/>
        <sz val="11"/>
        <color theme="1"/>
        <rFont val="Calibri"/>
        <family val="2"/>
        <scheme val="minor"/>
      </rPr>
      <t xml:space="preserve"> the UK</t>
    </r>
  </si>
  <si>
    <t>UK National Insurance number</t>
  </si>
  <si>
    <t>National ID card number (if applicable)</t>
  </si>
  <si>
    <t>Employment details</t>
  </si>
  <si>
    <t>Tuberculosis (TB) pre-screening</t>
  </si>
  <si>
    <t>It is important that applicants from countries where TB pre-screening is required are tested as soon as possible in advance of their application it can be difficult to obtain an appointment. If additional tests and/or treatment is required this will significantly delay their application to come to the UK.</t>
  </si>
  <si>
    <r>
      <rPr>
        <b/>
        <i/>
        <sz val="12"/>
        <color theme="1"/>
        <rFont val="Calibri"/>
        <family val="2"/>
        <scheme val="minor"/>
      </rPr>
      <t>NB:</t>
    </r>
    <r>
      <rPr>
        <i/>
        <sz val="12"/>
        <color theme="1"/>
        <rFont val="Calibri"/>
        <family val="2"/>
        <scheme val="minor"/>
      </rPr>
      <t xml:space="preserve"> where TB pre-screening is required </t>
    </r>
    <r>
      <rPr>
        <i/>
        <u/>
        <sz val="12"/>
        <color theme="1"/>
        <rFont val="Calibri"/>
        <family val="2"/>
        <scheme val="minor"/>
      </rPr>
      <t>only tests from approved clinics can be relied upon</t>
    </r>
    <r>
      <rPr>
        <i/>
        <sz val="12"/>
        <color theme="1"/>
        <rFont val="Calibri"/>
        <family val="2"/>
        <scheme val="minor"/>
      </rPr>
      <t>.</t>
    </r>
  </si>
  <si>
    <r>
      <t>Will the applicant be required to provide a medical certificate</t>
    </r>
    <r>
      <rPr>
        <sz val="12"/>
        <color theme="1"/>
        <rFont val="Times New Roman"/>
        <family val="1"/>
      </rPr>
      <t xml:space="preserve"> </t>
    </r>
    <r>
      <rPr>
        <b/>
        <sz val="11"/>
        <color theme="1"/>
        <rFont val="Arial"/>
        <family val="2"/>
      </rPr>
      <t xml:space="preserve">confirming they have been screened for and are free from active pulmonary tuberculosis (TB)  </t>
    </r>
  </si>
  <si>
    <t>TB pre-screening</t>
  </si>
  <si>
    <t>CoS length</t>
  </si>
  <si>
    <t>years</t>
  </si>
  <si>
    <t>months</t>
  </si>
  <si>
    <t>days</t>
  </si>
  <si>
    <r>
      <t xml:space="preserve">Note that for a </t>
    </r>
    <r>
      <rPr>
        <b/>
        <i/>
        <sz val="10"/>
        <color theme="1"/>
        <rFont val="Arial"/>
        <family val="2"/>
      </rPr>
      <t>standard 3 year</t>
    </r>
    <r>
      <rPr>
        <i/>
        <sz val="10"/>
        <color theme="1"/>
        <rFont val="Arial"/>
        <family val="2"/>
      </rPr>
      <t xml:space="preserve"> application a CoS can only be issued for three years, or the length of the contract, </t>
    </r>
    <r>
      <rPr>
        <i/>
        <u/>
        <sz val="10"/>
        <color theme="1"/>
        <rFont val="Arial"/>
        <family val="2"/>
      </rPr>
      <t xml:space="preserve">whichever is the shorter period. </t>
    </r>
  </si>
  <si>
    <r>
      <t xml:space="preserve">For an </t>
    </r>
    <r>
      <rPr>
        <b/>
        <i/>
        <sz val="10"/>
        <color theme="1"/>
        <rFont val="Arial"/>
        <family val="2"/>
      </rPr>
      <t>over 3 year</t>
    </r>
    <r>
      <rPr>
        <i/>
        <sz val="10"/>
        <color theme="1"/>
        <rFont val="Arial"/>
        <family val="2"/>
      </rPr>
      <t xml:space="preserve"> application a CoS can be issued for five years, or the length of the contract, </t>
    </r>
    <r>
      <rPr>
        <i/>
        <u/>
        <sz val="10"/>
        <color theme="1"/>
        <rFont val="Arial"/>
        <family val="2"/>
      </rPr>
      <t>whichever is the shorter period</t>
    </r>
    <r>
      <rPr>
        <i/>
        <sz val="10"/>
        <color theme="1"/>
        <rFont val="Arial"/>
        <family val="2"/>
      </rPr>
      <t>.</t>
    </r>
  </si>
  <si>
    <t>Checked</t>
  </si>
  <si>
    <t>Form</t>
  </si>
  <si>
    <t>NHS Surcharge Discussed ?</t>
  </si>
  <si>
    <t>Does the applicant require multiple entry to the UK for work purposes?</t>
  </si>
  <si>
    <t>Total weekly hours of work</t>
  </si>
  <si>
    <t>Hours of work</t>
  </si>
  <si>
    <t>Main work address in the UK</t>
  </si>
  <si>
    <t>University of Oxford</t>
  </si>
  <si>
    <t>County</t>
  </si>
  <si>
    <t>Additional work address in the UK</t>
  </si>
  <si>
    <t>Additional work address in the UK (2)</t>
  </si>
  <si>
    <t>Any further additional work locations</t>
  </si>
  <si>
    <t>Main work location</t>
  </si>
  <si>
    <t>Additional work location</t>
  </si>
  <si>
    <t>Additional work location (2)</t>
  </si>
  <si>
    <t>Further additional work locations</t>
  </si>
  <si>
    <t xml:space="preserve">Job title </t>
  </si>
  <si>
    <r>
      <t xml:space="preserve">Main duties, </t>
    </r>
    <r>
      <rPr>
        <i/>
        <sz val="11"/>
        <color theme="1"/>
        <rFont val="Arial"/>
        <family val="2"/>
      </rPr>
      <t>for example: conducting experiments, analysing and publishing results, teaching</t>
    </r>
    <r>
      <rPr>
        <b/>
        <sz val="11"/>
        <color theme="1"/>
        <rFont val="Arial"/>
        <family val="2"/>
      </rPr>
      <t xml:space="preserve"> (maximum 1,000 characters)</t>
    </r>
  </si>
  <si>
    <r>
      <rPr>
        <b/>
        <i/>
        <sz val="10"/>
        <color theme="1"/>
        <rFont val="Arial"/>
        <family val="2"/>
      </rPr>
      <t>NOTE:</t>
    </r>
    <r>
      <rPr>
        <i/>
        <sz val="10"/>
        <color theme="1"/>
        <rFont val="Arial"/>
        <family val="2"/>
      </rPr>
      <t xml:space="preserve"> The Home Office does not view University research and University teaching as the same profession. Therefore, if a research post requires the holder to teach, or a teaching post requires the holder to conduct research, this </t>
    </r>
    <r>
      <rPr>
        <i/>
        <u/>
        <sz val="10"/>
        <color theme="1"/>
        <rFont val="Arial"/>
        <family val="2"/>
      </rPr>
      <t>must</t>
    </r>
    <r>
      <rPr>
        <i/>
        <sz val="10"/>
        <color theme="1"/>
        <rFont val="Arial"/>
        <family val="2"/>
      </rPr>
      <t xml:space="preserve"> be noted in the job description on the CoS.</t>
    </r>
  </si>
  <si>
    <t>Relevant SOC code</t>
  </si>
  <si>
    <t>SIT USE ONLY</t>
  </si>
  <si>
    <t>Job title</t>
  </si>
  <si>
    <t>Main duties</t>
  </si>
  <si>
    <t>Overseas Criminal Records Certificates</t>
  </si>
  <si>
    <t xml:space="preserve">www.gov.uk/tb-test-visa </t>
  </si>
  <si>
    <t>Registration with professional or other UK organisation</t>
  </si>
  <si>
    <t>Please use current salary scales:</t>
  </si>
  <si>
    <t>Gross annual pay</t>
  </si>
  <si>
    <t>NONE OF THE ABOVE</t>
  </si>
  <si>
    <t>Page 7</t>
  </si>
  <si>
    <t>Is the applicant any of the following? Please select the relevant option.</t>
  </si>
  <si>
    <t>completed UK bachelors or postgrad degree</t>
  </si>
  <si>
    <t>completed at least 12 months of UK PhD/Dphil</t>
  </si>
  <si>
    <t>Did the applicant receive any financial sponsorship for their studies from the UK government, their home government, or an international scholarship agency (whether based within or outside the UK) within the past 12 months?</t>
  </si>
  <si>
    <t>Page 8</t>
  </si>
  <si>
    <t>Page 9</t>
  </si>
  <si>
    <t>TB ? / Mulitple entry? / Oxford T4 ? / T4 funding ? / Rec. declarations ?</t>
  </si>
  <si>
    <t>Record-keeping and Reporting Responsibilities</t>
  </si>
  <si>
    <t>Record-keeping declaration</t>
  </si>
  <si>
    <t>Reporting declaration</t>
  </si>
  <si>
    <t>Non-compliance declaration</t>
  </si>
  <si>
    <r>
      <t xml:space="preserve">Supporting documents </t>
    </r>
    <r>
      <rPr>
        <sz val="11"/>
        <color theme="1"/>
        <rFont val="Arial"/>
        <family val="2"/>
      </rPr>
      <t>–</t>
    </r>
    <r>
      <rPr>
        <b/>
        <sz val="11"/>
        <color theme="1"/>
        <rFont val="Arial"/>
        <family val="2"/>
      </rPr>
      <t xml:space="preserve"> </t>
    </r>
    <r>
      <rPr>
        <i/>
        <sz val="11"/>
        <color theme="1"/>
        <rFont val="Arial"/>
        <family val="2"/>
      </rPr>
      <t xml:space="preserve">with naming convention </t>
    </r>
    <r>
      <rPr>
        <sz val="10"/>
        <color rgb="FF7030A0"/>
        <rFont val="Arial"/>
        <family val="2"/>
      </rPr>
      <t>(</t>
    </r>
    <r>
      <rPr>
        <i/>
        <sz val="10"/>
        <color rgb="FF7030A0"/>
        <rFont val="Arial"/>
        <family val="2"/>
      </rPr>
      <t>SURNAME,Initials-</t>
    </r>
    <r>
      <rPr>
        <b/>
        <i/>
        <sz val="10"/>
        <color theme="1"/>
        <rFont val="Arial"/>
        <family val="2"/>
      </rPr>
      <t>[document]</t>
    </r>
    <r>
      <rPr>
        <i/>
        <sz val="10"/>
        <color rgb="FF7030A0"/>
        <rFont val="Arial"/>
        <family val="2"/>
      </rPr>
      <t>-dd-mm-yy.pdf</t>
    </r>
    <r>
      <rPr>
        <sz val="10"/>
        <color rgb="FF7030A0"/>
        <rFont val="Arial"/>
        <family val="2"/>
      </rPr>
      <t>)</t>
    </r>
  </si>
  <si>
    <t>Please tick to confirm that the following documents are enclosed with this application:</t>
  </si>
  <si>
    <r>
      <t xml:space="preserve">Copy of photo and personal information page(s) of a valid </t>
    </r>
    <r>
      <rPr>
        <b/>
        <sz val="11"/>
        <color theme="1"/>
        <rFont val="Arial"/>
        <family val="2"/>
      </rPr>
      <t>passport</t>
    </r>
    <r>
      <rPr>
        <sz val="11"/>
        <color theme="1"/>
        <rFont val="Arial"/>
        <family val="2"/>
      </rPr>
      <t>.</t>
    </r>
  </si>
  <si>
    <r>
      <t>(SURNAME,Initials-</t>
    </r>
    <r>
      <rPr>
        <b/>
        <i/>
        <sz val="11"/>
        <color rgb="FF7030A0"/>
        <rFont val="Arial"/>
        <family val="2"/>
      </rPr>
      <t>passport</t>
    </r>
    <r>
      <rPr>
        <i/>
        <sz val="11"/>
        <color rgb="FF7030A0"/>
        <rFont val="Arial"/>
        <family val="2"/>
      </rPr>
      <t>-dd-mm-yy.pdf)</t>
    </r>
  </si>
  <si>
    <r>
      <t>(SURNAME,Initials-</t>
    </r>
    <r>
      <rPr>
        <b/>
        <i/>
        <sz val="11"/>
        <color rgb="FF7030A0"/>
        <rFont val="Arial"/>
        <family val="2"/>
      </rPr>
      <t>visa</t>
    </r>
    <r>
      <rPr>
        <i/>
        <sz val="11"/>
        <color rgb="FF7030A0"/>
        <rFont val="Arial"/>
        <family val="2"/>
      </rPr>
      <t>-dd-mm-yy.pdf)</t>
    </r>
  </si>
  <si>
    <r>
      <t xml:space="preserve">Copy of signed and dated </t>
    </r>
    <r>
      <rPr>
        <b/>
        <sz val="11"/>
        <color theme="1"/>
        <rFont val="Arial"/>
        <family val="2"/>
      </rPr>
      <t>Client care &amp; conditions form</t>
    </r>
    <r>
      <rPr>
        <sz val="11"/>
        <color theme="1"/>
        <rFont val="Arial"/>
        <family val="2"/>
      </rPr>
      <t xml:space="preserve"> confirming the applicant has read, understood, and accepts the Staff Immigration Team’s Conditions of Service and Agreed provision of advice &amp; assistance, and consents to the processing and use of their personal data by the University. </t>
    </r>
    <r>
      <rPr>
        <b/>
        <sz val="11"/>
        <color theme="1"/>
        <rFont val="Arial"/>
        <family val="2"/>
      </rPr>
      <t>This is required before we are able to issue a CoS</t>
    </r>
    <r>
      <rPr>
        <sz val="11"/>
        <color theme="1"/>
        <rFont val="Arial"/>
        <family val="2"/>
      </rPr>
      <t>.</t>
    </r>
    <r>
      <rPr>
        <b/>
        <sz val="11"/>
        <color theme="1"/>
        <rFont val="Arial"/>
        <family val="2"/>
      </rPr>
      <t/>
    </r>
  </si>
  <si>
    <r>
      <t>(SURNAME,Initials-</t>
    </r>
    <r>
      <rPr>
        <b/>
        <i/>
        <sz val="11"/>
        <color rgb="FF7030A0"/>
        <rFont val="Arial"/>
        <family val="2"/>
      </rPr>
      <t>conditions</t>
    </r>
    <r>
      <rPr>
        <i/>
        <sz val="11"/>
        <color rgb="FF7030A0"/>
        <rFont val="Arial"/>
        <family val="2"/>
      </rPr>
      <t>-dd-mm-yy.pdf)</t>
    </r>
  </si>
  <si>
    <t>SUPPORTING DOCUMENTS</t>
  </si>
  <si>
    <t>Passport</t>
  </si>
  <si>
    <t>Client care &amp; conditions</t>
  </si>
  <si>
    <t>IN-COUNTRY applicant - previous UK Visas</t>
  </si>
  <si>
    <t>OVERSEAS applicant - visa for resident country</t>
  </si>
  <si>
    <r>
      <t>(SURNAME,Initials-</t>
    </r>
    <r>
      <rPr>
        <b/>
        <i/>
        <sz val="11"/>
        <color rgb="FF7030A0"/>
        <rFont val="Arial"/>
        <family val="2"/>
      </rPr>
      <t>nonUKvisa</t>
    </r>
    <r>
      <rPr>
        <i/>
        <sz val="11"/>
        <color rgb="FF7030A0"/>
        <rFont val="Arial"/>
        <family val="2"/>
      </rPr>
      <t>-dd-mm-yy.pdf)</t>
    </r>
  </si>
  <si>
    <r>
      <t xml:space="preserve">Qualifications </t>
    </r>
    <r>
      <rPr>
        <b/>
        <sz val="11"/>
        <color theme="1"/>
        <rFont val="Calibri"/>
        <family val="2"/>
        <scheme val="minor"/>
      </rPr>
      <t>OR</t>
    </r>
    <r>
      <rPr>
        <sz val="11"/>
        <color theme="1"/>
        <rFont val="Calibri"/>
        <family val="2"/>
        <scheme val="minor"/>
      </rPr>
      <t xml:space="preserve"> refs for equiv experience</t>
    </r>
  </si>
  <si>
    <t>Registration/ Accreditation</t>
  </si>
  <si>
    <t>Job description/ further particulars</t>
  </si>
  <si>
    <r>
      <t xml:space="preserve">For </t>
    </r>
    <r>
      <rPr>
        <b/>
        <sz val="11"/>
        <color theme="1"/>
        <rFont val="Calibri"/>
        <family val="2"/>
        <scheme val="minor"/>
      </rPr>
      <t>T4 to T2</t>
    </r>
    <r>
      <rPr>
        <sz val="11"/>
        <color theme="1"/>
        <rFont val="Calibri"/>
        <family val="2"/>
        <scheme val="minor"/>
      </rPr>
      <t xml:space="preserve"> switch - completed qualification</t>
    </r>
  </si>
  <si>
    <r>
      <t>For</t>
    </r>
    <r>
      <rPr>
        <b/>
        <sz val="11"/>
        <color theme="1"/>
        <rFont val="Calibri"/>
        <family val="2"/>
        <scheme val="minor"/>
      </rPr>
      <t xml:space="preserve"> T4 to T2</t>
    </r>
    <r>
      <rPr>
        <sz val="11"/>
        <color theme="1"/>
        <rFont val="Calibri"/>
        <family val="2"/>
        <scheme val="minor"/>
      </rPr>
      <t xml:space="preserve"> switch - funder consent letter</t>
    </r>
  </si>
  <si>
    <t>Immigration Skills Charge (ISC)</t>
  </si>
  <si>
    <r>
      <rPr>
        <b/>
        <sz val="11"/>
        <color theme="1"/>
        <rFont val="Arial"/>
        <family val="2"/>
      </rPr>
      <t>Departments:</t>
    </r>
    <r>
      <rPr>
        <sz val="11"/>
        <color theme="1"/>
        <rFont val="Arial"/>
        <family val="2"/>
      </rPr>
      <t xml:space="preserve"> the ISC fee will be cross-charged back to the cost code detailed in the ‘Payment and Authorisation’ section below.</t>
    </r>
  </si>
  <si>
    <r>
      <rPr>
        <b/>
        <sz val="11"/>
        <color theme="1"/>
        <rFont val="Arial"/>
        <family val="2"/>
      </rPr>
      <t xml:space="preserve">Colleges: </t>
    </r>
    <r>
      <rPr>
        <sz val="11"/>
        <color theme="1"/>
        <rFont val="Arial"/>
        <family val="2"/>
      </rPr>
      <t xml:space="preserve">please do </t>
    </r>
    <r>
      <rPr>
        <u/>
        <sz val="11"/>
        <color theme="1"/>
        <rFont val="Arial"/>
        <family val="2"/>
      </rPr>
      <t>not</t>
    </r>
    <r>
      <rPr>
        <sz val="11"/>
        <color theme="1"/>
        <rFont val="Arial"/>
        <family val="2"/>
      </rPr>
      <t xml:space="preserve"> provide a cheque for the ISC or cost of the CoS until the total combined amount is confirmed by SIT.</t>
    </r>
  </si>
  <si>
    <t>Immigration Skills Charge</t>
  </si>
  <si>
    <t>30 to 36 months (3 years)</t>
  </si>
  <si>
    <t>12 months or less</t>
  </si>
  <si>
    <t>36 to 42 months</t>
  </si>
  <si>
    <t>12 to 18 months</t>
  </si>
  <si>
    <t>42 to 48 months</t>
  </si>
  <si>
    <t>18 to 24 months</t>
  </si>
  <si>
    <t>48 to 54 months</t>
  </si>
  <si>
    <t>24 to 30 months</t>
  </si>
  <si>
    <t>54 to 60 months (5 years)</t>
  </si>
  <si>
    <t>ISC exemptions</t>
  </si>
  <si>
    <t>Payment and Authorisation</t>
  </si>
  <si>
    <t>Research (2119) or Lecturer (2311) role?</t>
  </si>
  <si>
    <t>CoS</t>
  </si>
  <si>
    <t>ISC</t>
  </si>
  <si>
    <t>TOTAL:</t>
  </si>
  <si>
    <t>CoS &amp; ISC fees ?</t>
  </si>
  <si>
    <t>Costcode</t>
  </si>
  <si>
    <t>Cost centre</t>
  </si>
  <si>
    <t>Source of funds</t>
  </si>
  <si>
    <t>Department from Cost centre</t>
  </si>
  <si>
    <t>Department from Authorisation</t>
  </si>
  <si>
    <t>Authorisation</t>
  </si>
  <si>
    <t>Full name</t>
  </si>
  <si>
    <t>Position</t>
  </si>
  <si>
    <t>Date</t>
  </si>
  <si>
    <t>Department/ college</t>
  </si>
  <si>
    <t xml:space="preserve">Telephone </t>
  </si>
  <si>
    <t>Email</t>
  </si>
  <si>
    <t>ISC:</t>
  </si>
  <si>
    <r>
      <rPr>
        <b/>
        <sz val="11"/>
        <color theme="1"/>
        <rFont val="Arial"/>
        <family val="2"/>
      </rPr>
      <t>Departments:</t>
    </r>
    <r>
      <rPr>
        <sz val="11"/>
        <color theme="1"/>
        <rFont val="Arial"/>
        <family val="2"/>
      </rPr>
      <t xml:space="preserve"> Please give the </t>
    </r>
    <r>
      <rPr>
        <b/>
        <sz val="11"/>
        <color theme="1"/>
        <rFont val="Arial"/>
        <family val="2"/>
      </rPr>
      <t xml:space="preserve">full </t>
    </r>
    <r>
      <rPr>
        <sz val="11"/>
        <color theme="1"/>
        <rFont val="Arial"/>
        <family val="2"/>
      </rPr>
      <t xml:space="preserve">general ledger cost code below that you wish this fee and any ISC (if applicable) to be cross-charged to. We </t>
    </r>
    <r>
      <rPr>
        <b/>
        <sz val="11"/>
        <color theme="1"/>
        <rFont val="Arial"/>
        <family val="2"/>
      </rPr>
      <t>cannot</t>
    </r>
    <r>
      <rPr>
        <sz val="11"/>
        <color theme="1"/>
        <rFont val="Arial"/>
        <family val="2"/>
      </rPr>
      <t xml:space="preserve"> cross-charge to project codes. </t>
    </r>
  </si>
  <si>
    <t>Cost code to charge application fee to:</t>
  </si>
  <si>
    <t>Cost Centre</t>
  </si>
  <si>
    <t>natural account</t>
  </si>
  <si>
    <t>activity</t>
  </si>
  <si>
    <t xml:space="preserve">  source of funds</t>
  </si>
  <si>
    <t>organisation</t>
  </si>
  <si>
    <t>00</t>
  </si>
  <si>
    <t>00000</t>
  </si>
  <si>
    <t>e.g. AB0000</t>
  </si>
  <si>
    <t>00000 (default)</t>
  </si>
  <si>
    <r>
      <t>Date</t>
    </r>
    <r>
      <rPr>
        <i/>
        <sz val="11"/>
        <color theme="1"/>
        <rFont val="Arial"/>
        <family val="2"/>
      </rPr>
      <t xml:space="preserve"> - DD/MM/YYYY</t>
    </r>
  </si>
  <si>
    <t>Thursday</t>
  </si>
  <si>
    <t>Maintenance</t>
  </si>
  <si>
    <t>Main applicant</t>
  </si>
  <si>
    <t>CoS (SN) maintenance statement</t>
  </si>
  <si>
    <r>
      <t xml:space="preserve">Copy of any registration or </t>
    </r>
    <r>
      <rPr>
        <b/>
        <sz val="11"/>
        <color theme="1"/>
        <rFont val="Arial"/>
        <family val="2"/>
      </rPr>
      <t>professional accreditation</t>
    </r>
    <r>
      <rPr>
        <sz val="11"/>
        <color theme="1"/>
        <rFont val="Arial"/>
        <family val="2"/>
      </rPr>
      <t xml:space="preserve"> document(s) that an applicant requires in order to do the job (e.g. GMC membership). </t>
    </r>
    <r>
      <rPr>
        <sz val="11"/>
        <color rgb="FF7030A0"/>
        <rFont val="Arial"/>
        <family val="2"/>
      </rPr>
      <t>(</t>
    </r>
    <r>
      <rPr>
        <i/>
        <sz val="11"/>
        <color rgb="FF7030A0"/>
        <rFont val="Arial"/>
        <family val="2"/>
      </rPr>
      <t>SURNAME,Initials-</t>
    </r>
    <r>
      <rPr>
        <b/>
        <i/>
        <sz val="11"/>
        <color rgb="FF7030A0"/>
        <rFont val="Arial"/>
        <family val="2"/>
      </rPr>
      <t>accreditation</t>
    </r>
    <r>
      <rPr>
        <i/>
        <sz val="11"/>
        <color rgb="FF7030A0"/>
        <rFont val="Arial"/>
        <family val="2"/>
      </rPr>
      <t xml:space="preserve"> dd-mm-yy.pdf</t>
    </r>
    <r>
      <rPr>
        <sz val="11"/>
        <color rgb="FF7030A0"/>
        <rFont val="Arial"/>
        <family val="2"/>
      </rPr>
      <t>)</t>
    </r>
  </si>
  <si>
    <t>UK National Insurance number (if applicable)</t>
  </si>
  <si>
    <t>Multiple entry ?</t>
  </si>
  <si>
    <t>Residential address</t>
  </si>
  <si>
    <t>Date passed, or will sit, approved English language test (DD/MM/YYYY)</t>
  </si>
  <si>
    <t>Is this role on the Shortage Occupation List ?</t>
  </si>
  <si>
    <t>CR</t>
  </si>
  <si>
    <t>https://staffimmigration.admin.ox.ac.uk/compliance</t>
  </si>
  <si>
    <t>Information on changes which must be reported and details recorded can be found at:</t>
  </si>
  <si>
    <t>Information on the importance of compliance can be found at:</t>
  </si>
  <si>
    <t>https://staffimmigration.admin.ox.ac.uk/</t>
  </si>
  <si>
    <t>Medical Sciences/ Humanities / GLAM / UAS / Continuing Education / Colleges</t>
  </si>
  <si>
    <t xml:space="preserve">MPLS / Social Sciences </t>
  </si>
  <si>
    <t>Partner/ child over 18</t>
  </si>
  <si>
    <t>Child under 18</t>
  </si>
  <si>
    <t>each for the main applicant, and their partner, if applicable</t>
  </si>
  <si>
    <t>for each dependant child (under 18), if applicable</t>
  </si>
  <si>
    <r>
      <t xml:space="preserve">SKILLED WORKER </t>
    </r>
    <r>
      <rPr>
        <b/>
        <u/>
        <sz val="12"/>
        <color theme="1"/>
        <rFont val="Arial"/>
        <family val="2"/>
      </rPr>
      <t>INITIAL</t>
    </r>
    <r>
      <rPr>
        <b/>
        <sz val="12"/>
        <color theme="1"/>
        <rFont val="Arial"/>
        <family val="2"/>
      </rPr>
      <t xml:space="preserve"> CERTIFICATE OF SPONSORSHIP APPLICATION FORM</t>
    </r>
  </si>
  <si>
    <t>SKILLED WORKER Initial CoS APPLICATION SUMMARY</t>
  </si>
  <si>
    <t>Partner</t>
  </si>
  <si>
    <t>First child</t>
  </si>
  <si>
    <t>Each additional child</t>
  </si>
  <si>
    <t>North Macedonia</t>
  </si>
  <si>
    <t>British/ Irish</t>
  </si>
  <si>
    <r>
      <rPr>
        <sz val="11"/>
        <color theme="1"/>
        <rFont val="Calibri"/>
        <family val="2"/>
        <scheme val="minor"/>
      </rPr>
      <t xml:space="preserve">12 months in the UK already </t>
    </r>
    <r>
      <rPr>
        <u/>
        <sz val="11"/>
        <color theme="1"/>
        <rFont val="Calibri"/>
        <family val="2"/>
        <scheme val="minor"/>
      </rPr>
      <t>NOT required</t>
    </r>
  </si>
  <si>
    <t>The six year limit no longer applies under the new Skilled Worker rules but, if they wish to, visa holders can apply for ILR after five years under Tier 2 and/ or Skilled Worker visas. SIT provides advice on ILR applications.</t>
  </si>
  <si>
    <r>
      <t xml:space="preserve">Our </t>
    </r>
    <r>
      <rPr>
        <b/>
        <i/>
        <sz val="10"/>
        <color theme="1"/>
        <rFont val="Arial"/>
        <family val="2"/>
      </rPr>
      <t>Skilled Worker &amp; Tier 5 Changes &amp; Leavers Form</t>
    </r>
    <r>
      <rPr>
        <i/>
        <sz val="10"/>
        <color theme="1"/>
        <rFont val="Arial"/>
        <family val="2"/>
      </rPr>
      <t xml:space="preserve"> should be used to report any changes in circumstances for Skilled Worker/ Tier 2 and Tier 5 visa holders to the Staff Immigration Team within 5 working days after the changes take effect in order that they can be reported to the Home Office as required.</t>
    </r>
  </si>
  <si>
    <t>Has the department/ college read and understood their record-keeping responsibilities for Skilled Worker visa holders?</t>
  </si>
  <si>
    <t>Has the department/ college read and understood their reporting responsibilities for Skilled Worker visa holders?</t>
  </si>
  <si>
    <t>Has the department/ college read and understood the consequences of non-compliance with their record-keeping and reporting responsibilities for Skilled Worker visa holders?</t>
  </si>
  <si>
    <t>Please complete below to confirm that you are satisfied that the applicant named on this form meets the necessary points requirements for a Skilled Worker Certificate of Sponsorship and that the department has read and understood its reporting and record-keeping responsibilities.</t>
  </si>
  <si>
    <t>College PAYE ref. provided?</t>
  </si>
  <si>
    <t xml:space="preserve">Departments and colleges employing applicants on Skilled Worker visas have a number of record-keeping and reporting responsibilities. The consequences of non-compliance with these duties, including reporting details late, are potentially severe for the University. </t>
  </si>
  <si>
    <r>
      <t xml:space="preserve">For </t>
    </r>
    <r>
      <rPr>
        <b/>
        <u/>
        <sz val="11"/>
        <color theme="1"/>
        <rFont val="Arial"/>
        <family val="2"/>
      </rPr>
      <t>OVERSEAS</t>
    </r>
    <r>
      <rPr>
        <sz val="11"/>
        <color theme="1"/>
        <rFont val="Arial"/>
        <family val="2"/>
      </rPr>
      <t xml:space="preserve"> applicants </t>
    </r>
    <r>
      <rPr>
        <b/>
        <sz val="11"/>
        <color theme="1"/>
        <rFont val="Arial"/>
        <family val="2"/>
      </rPr>
      <t>who are not applying from their home country</t>
    </r>
    <r>
      <rPr>
        <sz val="11"/>
        <color theme="1"/>
        <rFont val="Arial"/>
        <family val="2"/>
      </rPr>
      <t xml:space="preserve"> - copy of visa valid for at least 3 months, or other evidence, showing they have residence </t>
    </r>
    <r>
      <rPr>
        <i/>
        <sz val="11"/>
        <color theme="1"/>
        <rFont val="Arial"/>
        <family val="2"/>
      </rPr>
      <t>(i.e. are a student or worker, for example, not just a visitor)</t>
    </r>
    <r>
      <rPr>
        <sz val="11"/>
        <color theme="1"/>
        <rFont val="Arial"/>
        <family val="2"/>
      </rPr>
      <t xml:space="preserve"> in the country where they intend to submit their Skilled Worker </t>
    </r>
    <r>
      <rPr>
        <b/>
        <sz val="11"/>
        <color theme="1"/>
        <rFont val="Arial"/>
        <family val="2"/>
      </rPr>
      <t>visa application</t>
    </r>
    <r>
      <rPr>
        <sz val="11"/>
        <color theme="1"/>
        <rFont val="Arial"/>
        <family val="2"/>
      </rPr>
      <t xml:space="preserve">. </t>
    </r>
  </si>
  <si>
    <r>
      <t>Existing Skilled Worker/ Tier 2 visa holders</t>
    </r>
    <r>
      <rPr>
        <sz val="11"/>
        <color theme="1"/>
        <rFont val="Arial"/>
        <family val="2"/>
      </rPr>
      <t>, whose Tier 2 CoS were issued before 6 April 2017, who are applying to extend, or for a Skilled Worker visa with a new employer/ sponsor</t>
    </r>
  </si>
  <si>
    <r>
      <t xml:space="preserve">* It is possible to apply to switch to a Skilled Worker visa from within the UK from a number of different other visa routes. The visa routes from which you </t>
    </r>
    <r>
      <rPr>
        <i/>
        <u/>
        <sz val="11"/>
        <rFont val="Arial"/>
        <family val="2"/>
      </rPr>
      <t>cannot</t>
    </r>
    <r>
      <rPr>
        <i/>
        <sz val="11"/>
        <rFont val="Arial"/>
        <family val="2"/>
      </rPr>
      <t xml:space="preserve"> switch in the UK are the Visitor routes, Short-term Student, Parent of a Child Student, Seasonal Worker, and Domestic Worker.</t>
    </r>
  </si>
  <si>
    <t>Employment details - Salary</t>
  </si>
  <si>
    <t>Salary checked using SW calculator</t>
  </si>
  <si>
    <t>Has applicant been awarded PhD/Dphil/doctorate?</t>
  </si>
  <si>
    <t>What was their PhD subject?</t>
  </si>
  <si>
    <t>Gross annual pay **</t>
  </si>
  <si>
    <t>Has the applicant been awarded a PhD/ DPhil/ doctorate ?</t>
  </si>
  <si>
    <t>What was their PhD subject ?</t>
  </si>
  <si>
    <t>(area of study, not the actual thesis title)</t>
  </si>
  <si>
    <t>Role on the Shortage Occupation List ?</t>
  </si>
  <si>
    <t>OUTSIDE the UK, last held Tier 4 &lt;2yrs before applying</t>
  </si>
  <si>
    <r>
      <rPr>
        <b/>
        <sz val="11"/>
        <rFont val="Arial"/>
        <family val="2"/>
      </rPr>
      <t>ELIGIBILITY</t>
    </r>
    <r>
      <rPr>
        <sz val="11"/>
        <rFont val="Arial"/>
        <family val="2"/>
      </rPr>
      <t xml:space="preserve"> - please select the relevant option.</t>
    </r>
  </si>
  <si>
    <r>
      <t xml:space="preserve">If </t>
    </r>
    <r>
      <rPr>
        <b/>
        <sz val="11"/>
        <rFont val="Calibri"/>
        <family val="2"/>
        <scheme val="minor"/>
      </rPr>
      <t>Yes</t>
    </r>
    <r>
      <rPr>
        <sz val="11"/>
        <rFont val="Calibri"/>
        <family val="2"/>
        <scheme val="minor"/>
      </rPr>
      <t>, please provide details of whether this covered tuition, living costs, or both; and the organisation(s) which provided this support.</t>
    </r>
  </si>
  <si>
    <t>New Entrant switching?</t>
  </si>
  <si>
    <t>Switching from Tier 4, Tier 4 DES, or Student</t>
  </si>
  <si>
    <t xml:space="preserve">Is the applicant’s Tier 4/ Student visa sponsored by the University of Oxford? </t>
  </si>
  <si>
    <t>University of Oxford Tier 4/ Student visa?</t>
  </si>
  <si>
    <t>PLEASE PROVIDE COPIES OF ANY PREVIOUS UK VISAS.</t>
  </si>
  <si>
    <r>
      <t xml:space="preserve">If yes, please list issue date of first Tier 2/ Skilled Worker visa - </t>
    </r>
    <r>
      <rPr>
        <i/>
        <sz val="11"/>
        <rFont val="Arial"/>
        <family val="2"/>
      </rPr>
      <t>DD/MM/YYYY</t>
    </r>
  </si>
  <si>
    <t>Has the applicant held any Tier 2 or Skilled Worker visas (with any employer)?</t>
  </si>
  <si>
    <t>TB screening list - as of 01/12/20</t>
  </si>
  <si>
    <t>https://www.gov.uk/skilled-worker-visa/knowledge-of-english</t>
  </si>
  <si>
    <r>
      <t xml:space="preserve">Copies of the applicant's qualifications to confirm they have the required qualification(s) specified in the advert and job description (e.g. Masters, PhD). </t>
    </r>
    <r>
      <rPr>
        <i/>
        <sz val="11"/>
        <rFont val="Arial"/>
        <family val="2"/>
      </rPr>
      <t>(SURNAME,Initials-</t>
    </r>
    <r>
      <rPr>
        <b/>
        <i/>
        <sz val="11"/>
        <rFont val="Arial"/>
        <family val="2"/>
      </rPr>
      <t>qualification</t>
    </r>
    <r>
      <rPr>
        <i/>
        <sz val="11"/>
        <rFont val="Arial"/>
        <family val="2"/>
      </rPr>
      <t>-dd-mm-yy.pdf)</t>
    </r>
    <r>
      <rPr>
        <sz val="9"/>
        <rFont val="Arial"/>
        <family val="2"/>
      </rPr>
      <t xml:space="preserve">                                          </t>
    </r>
    <r>
      <rPr>
        <b/>
        <i/>
        <sz val="11"/>
        <rFont val="Arial"/>
        <family val="2"/>
      </rPr>
      <t xml:space="preserve">OR                     </t>
    </r>
    <r>
      <rPr>
        <sz val="11"/>
        <rFont val="Arial"/>
        <family val="2"/>
      </rPr>
      <t xml:space="preserve">Copies of </t>
    </r>
    <r>
      <rPr>
        <b/>
        <sz val="11"/>
        <rFont val="Arial"/>
        <family val="2"/>
      </rPr>
      <t>job references</t>
    </r>
    <r>
      <rPr>
        <sz val="11"/>
        <rFont val="Arial"/>
        <family val="2"/>
      </rPr>
      <t xml:space="preserve"> or other evidence of their experience if the chosen candidate has '</t>
    </r>
    <r>
      <rPr>
        <i/>
        <sz val="11"/>
        <rFont val="Arial"/>
        <family val="2"/>
      </rPr>
      <t>equivalent experience</t>
    </r>
    <r>
      <rPr>
        <sz val="11"/>
        <rFont val="Arial"/>
        <family val="2"/>
      </rPr>
      <t xml:space="preserve">' instead of the requested qualification, and this was listed in job description/ further particulars as acceptable. </t>
    </r>
    <r>
      <rPr>
        <i/>
        <sz val="11"/>
        <rFont val="Arial"/>
        <family val="2"/>
      </rPr>
      <t>(SURNAME,Initials-</t>
    </r>
    <r>
      <rPr>
        <b/>
        <i/>
        <sz val="11"/>
        <rFont val="Arial"/>
        <family val="2"/>
      </rPr>
      <t>references</t>
    </r>
    <r>
      <rPr>
        <i/>
        <sz val="11"/>
        <rFont val="Arial"/>
        <family val="2"/>
      </rPr>
      <t>-dd-mm-yy.pdf)</t>
    </r>
  </si>
  <si>
    <r>
      <t>PLEASE NOTE:</t>
    </r>
    <r>
      <rPr>
        <sz val="11"/>
        <rFont val="Arial"/>
        <family val="2"/>
      </rPr>
      <t xml:space="preserve"> if the job description states that candidates must '</t>
    </r>
    <r>
      <rPr>
        <b/>
        <i/>
        <sz val="11"/>
        <rFont val="Arial"/>
        <family val="2"/>
      </rPr>
      <t>hold a PhD/DPhil</t>
    </r>
    <r>
      <rPr>
        <sz val="11"/>
        <rFont val="Arial"/>
        <family val="2"/>
      </rPr>
      <t>' we will need a copy of the PhD/DPhil certificate or an academic reference if the certificate is not available.                                                                      If the requirement is to be ‘</t>
    </r>
    <r>
      <rPr>
        <b/>
        <i/>
        <sz val="11"/>
        <rFont val="Arial"/>
        <family val="2"/>
      </rPr>
      <t>near completion</t>
    </r>
    <r>
      <rPr>
        <sz val="11"/>
        <rFont val="Arial"/>
        <family val="2"/>
      </rPr>
      <t xml:space="preserve">' of a PhD/DPhil we will need an academic reference confirming that the applicant has submitted their thesis and (ideally) the date their viva is to be held. </t>
    </r>
    <r>
      <rPr>
        <b/>
        <sz val="11"/>
        <rFont val="Arial"/>
        <family val="2"/>
      </rPr>
      <t>If the applicant does not meet the qualification requirements laid out in the advert and job description we will not be able to sponsor them under the Skilled Worker route.</t>
    </r>
  </si>
  <si>
    <t>Under the Skilled Worker rules, the strict Tier 2 Resident Labour Market Test (RLMT) requirements around advertising and selection no longer apply. In order to be eligible for sponsorship, however, the applicant must meet the 'qualifications required' as listed in the job description/ further particulars and the role must be a 'genuine vacancy'.</t>
  </si>
  <si>
    <t xml:space="preserve"> - created primarily to enable an overseas nation to come to, or stay in, the UK</t>
  </si>
  <si>
    <t xml:space="preserve"> - exaggerated to make it appear to meet the requirements when it does not</t>
  </si>
  <si>
    <t xml:space="preserve"> - advertised with requirements that are inappropriate to the job on offer (for example, language skills which are not relevant to the job, or asking for a higher level of qualifications than are required) which appear tailored to exclude settled workers from being recruited</t>
  </si>
  <si>
    <t>** Allowances cannot be counted, so please do not include any allowances in the figure above. For joint appointments the combined University and college salary figure should be provided.</t>
  </si>
  <si>
    <r>
      <t>College PAYE reference number:</t>
    </r>
    <r>
      <rPr>
        <sz val="11"/>
        <color theme="1"/>
        <rFont val="Arial"/>
        <family val="2"/>
      </rPr>
      <t xml:space="preserve"> under the Skilled Worker rules the PAYE reference for the relevant payroll through which the applicant will be paid must be listed in the CoS. </t>
    </r>
    <r>
      <rPr>
        <u/>
        <sz val="11"/>
        <color theme="1"/>
        <rFont val="Arial"/>
        <family val="2"/>
      </rPr>
      <t>SIT has the PAYE reference number for the University, but not for the colleges.</t>
    </r>
    <r>
      <rPr>
        <sz val="11"/>
        <color theme="1"/>
        <rFont val="Arial"/>
        <family val="2"/>
      </rPr>
      <t xml:space="preserve"> Please provide the relevant college PAYE reference number:</t>
    </r>
  </si>
  <si>
    <t>https://finance.admin.ox.ac.uk/salary-scales</t>
  </si>
  <si>
    <t>https://staffimmigration.admin.ox.ac.uk/skilled-worker-during-sponsorship</t>
  </si>
  <si>
    <t>https://staffimmigration.admin.ox.ac.uk/skilled-worker-requesting-cos-and-prepare-visa-application</t>
  </si>
  <si>
    <t>If we have to rely on tradeable points for holding a PhD, and the PhD was taught outside the UK, the applicant will need UK NARIC verification before we can issue a CoS. We will let you know if this applies.</t>
  </si>
  <si>
    <r>
      <t xml:space="preserve">SKILLED WORKER </t>
    </r>
    <r>
      <rPr>
        <b/>
        <u/>
        <sz val="12"/>
        <color theme="1"/>
        <rFont val="Arial"/>
        <family val="2"/>
      </rPr>
      <t>INITIAL</t>
    </r>
    <r>
      <rPr>
        <b/>
        <sz val="12"/>
        <color theme="1"/>
        <rFont val="Arial"/>
        <family val="2"/>
      </rPr>
      <t xml:space="preserve"> CoS APPLICATION FORM - Recruitment details</t>
    </r>
  </si>
  <si>
    <t>Date of birth - DD/MM/YYYY</t>
  </si>
  <si>
    <t>Was this role advertised or was this a direct appointment?</t>
  </si>
  <si>
    <t>please complete section 1 and then return to the main form</t>
  </si>
  <si>
    <t>please complete section 2 and then return to the main form</t>
  </si>
  <si>
    <t>SECTION 1: Advertising details</t>
  </si>
  <si>
    <t>While the strict Tier 2 'RLMT' rules on advertising and selection no longer apply, under the SKilled Worker rules we are required to retain details about the recruitment for the role in question. As these details form part of the information we would rely on in the event of a Home Office audit they should be provided on this sheet which we can save as one of our centralised documents separate from the rest of the CoS application form.</t>
  </si>
  <si>
    <t>SECTION 2: Direct appointment details</t>
  </si>
  <si>
    <t>Please now return to complete the rest of the main application form</t>
  </si>
  <si>
    <r>
      <t xml:space="preserve">Home Office examples where a role would </t>
    </r>
    <r>
      <rPr>
        <u/>
        <sz val="11"/>
        <rFont val="Arial"/>
        <family val="2"/>
      </rPr>
      <t>not</t>
    </r>
    <r>
      <rPr>
        <sz val="11"/>
        <rFont val="Arial"/>
        <family val="2"/>
      </rPr>
      <t xml:space="preserve"> be considered to be a genuine vacancy are where it is:</t>
    </r>
  </si>
  <si>
    <r>
      <t xml:space="preserve">While copies of adverts and other recruitment documents are no longer required we do have to obtain and retain some information about the recruitment to the role. </t>
    </r>
    <r>
      <rPr>
        <b/>
        <sz val="11"/>
        <rFont val="Arial"/>
        <family val="2"/>
      </rPr>
      <t>Please provide these details in the</t>
    </r>
  </si>
  <si>
    <t xml:space="preserve">'SW initial -recruitment details' sheet </t>
  </si>
  <si>
    <r>
      <rPr>
        <b/>
        <sz val="11"/>
        <color theme="1"/>
        <rFont val="Arial"/>
        <family val="2"/>
      </rPr>
      <t>Departments,</t>
    </r>
    <r>
      <rPr>
        <sz val="11"/>
        <color theme="1"/>
        <rFont val="Arial"/>
        <family val="2"/>
      </rPr>
      <t xml:space="preserve"> please provide the </t>
    </r>
    <r>
      <rPr>
        <b/>
        <sz val="11"/>
        <color theme="1"/>
        <rFont val="Arial"/>
        <family val="2"/>
      </rPr>
      <t>Vacancy ID</t>
    </r>
    <r>
      <rPr>
        <sz val="11"/>
        <color theme="1"/>
        <rFont val="Arial"/>
        <family val="2"/>
      </rPr>
      <t xml:space="preserve"> so that in the event of an audit we can</t>
    </r>
  </si>
  <si>
    <r>
      <rPr>
        <b/>
        <sz val="11"/>
        <color theme="1"/>
        <rFont val="Arial"/>
        <family val="2"/>
      </rPr>
      <t>Colleges</t>
    </r>
    <r>
      <rPr>
        <sz val="11"/>
        <color theme="1"/>
        <rFont val="Arial"/>
        <family val="2"/>
      </rPr>
      <t>, as you do not use CoreHR, please provide the advert text in the box below</t>
    </r>
  </si>
  <si>
    <t>Total number of applicants</t>
  </si>
  <si>
    <t>Number shortlisted for interview</t>
  </si>
  <si>
    <r>
      <t xml:space="preserve">2. We must keep a summary of the </t>
    </r>
    <r>
      <rPr>
        <b/>
        <u/>
        <sz val="11"/>
        <color theme="1"/>
        <rFont val="Arial"/>
        <family val="2"/>
      </rPr>
      <t>reasons why the successful candidate was selected</t>
    </r>
  </si>
  <si>
    <r>
      <t xml:space="preserve">3. We must keep a copy of the </t>
    </r>
    <r>
      <rPr>
        <b/>
        <u/>
        <sz val="11"/>
        <color theme="1"/>
        <rFont val="Arial"/>
        <family val="2"/>
      </rPr>
      <t>advert text</t>
    </r>
  </si>
  <si>
    <t>Applicant was already in the role under a different visa</t>
  </si>
  <si>
    <t>Other (please detail below)</t>
  </si>
  <si>
    <t>Applicant was uniquely qualified to fill an urgent and critical role</t>
  </si>
  <si>
    <t>Applicant was clearly the most appropriate to undertake a redefined set of duties as part of an internal reorganisation</t>
  </si>
  <si>
    <t>Applicant was redeployed to 'suitable alternative employment'</t>
  </si>
  <si>
    <t>Applicant is named in a research grant</t>
  </si>
  <si>
    <t>Direct appointment circumstances</t>
  </si>
  <si>
    <t>University policy on making 'direct appointments' (i.e. recruiting without advertising) is found at:</t>
  </si>
  <si>
    <t>https://hr.admin.ox.ac.uk/recruitment-without-advertising</t>
  </si>
  <si>
    <t>1. We must record why the role was not advertised and a direct appointment was approved instead:</t>
  </si>
  <si>
    <r>
      <rPr>
        <b/>
        <i/>
        <sz val="11"/>
        <color theme="1"/>
        <rFont val="Arial"/>
        <family val="2"/>
      </rPr>
      <t>NOTE:</t>
    </r>
    <r>
      <rPr>
        <i/>
        <sz val="11"/>
        <color theme="1"/>
        <rFont val="Arial"/>
        <family val="2"/>
      </rPr>
      <t xml:space="preserve"> By completing and submitting this CoS application form via email you, or the named individual, are confirming that the information provided is, to the best of your knowledge, complete, true and correct.</t>
    </r>
  </si>
  <si>
    <r>
      <rPr>
        <b/>
        <i/>
        <sz val="11"/>
        <color theme="1"/>
        <rFont val="Arial"/>
        <family val="2"/>
      </rPr>
      <t>NOTE:</t>
    </r>
    <r>
      <rPr>
        <i/>
        <sz val="11"/>
        <color theme="1"/>
        <rFont val="Arial"/>
        <family val="2"/>
      </rPr>
      <t xml:space="preserve"> By completing this declaration and submitting this CoS application form via email you, or the named individual, are confirming that the information and supporting documents provided are, to the best of your knowledge, complete, true and correct.</t>
    </r>
  </si>
  <si>
    <t>Should you have any queries regarding these sections, please do not hesitate to contact us.</t>
  </si>
  <si>
    <r>
      <t>Date</t>
    </r>
    <r>
      <rPr>
        <i/>
        <sz val="11"/>
        <color theme="0" tint="-0.499984740745262"/>
        <rFont val="Arial"/>
        <family val="2"/>
      </rPr>
      <t xml:space="preserve"> - DD/MM/YYYY</t>
    </r>
  </si>
  <si>
    <t>Recruitment details section completed?</t>
  </si>
  <si>
    <r>
      <t xml:space="preserve">1. We must record the </t>
    </r>
    <r>
      <rPr>
        <b/>
        <u/>
        <sz val="11"/>
        <color theme="1"/>
        <rFont val="Arial"/>
        <family val="2"/>
      </rPr>
      <t>number of applicants</t>
    </r>
    <r>
      <rPr>
        <sz val="11"/>
        <color theme="1"/>
        <rFont val="Arial"/>
        <family val="2"/>
      </rPr>
      <t xml:space="preserve"> for the role and the </t>
    </r>
    <r>
      <rPr>
        <b/>
        <u/>
        <sz val="11"/>
        <color theme="1"/>
        <rFont val="Arial"/>
        <family val="2"/>
      </rPr>
      <t>number who were shortlisted</t>
    </r>
  </si>
  <si>
    <t>and then use the link at the end of the relevant section to return here to complete the application.</t>
  </si>
  <si>
    <r>
      <t xml:space="preserve">The 'SW initial -recruitment details' sheet </t>
    </r>
    <r>
      <rPr>
        <b/>
        <u/>
        <sz val="12"/>
        <color rgb="FF7030A0"/>
        <rFont val="Arial"/>
        <family val="2"/>
      </rPr>
      <t>must always be completed</t>
    </r>
    <r>
      <rPr>
        <sz val="12"/>
        <color rgb="FF7030A0"/>
        <rFont val="Arial"/>
        <family val="2"/>
      </rPr>
      <t xml:space="preserve"> as these details are required for every application. We cannot process the application without this information.</t>
    </r>
  </si>
  <si>
    <t>Strict advertising rules no longer apply, but it must be a 'genuine vacancy' and recruitment information is required</t>
  </si>
  <si>
    <t>link back at the end of this secion below.</t>
  </si>
  <si>
    <t>access the advert text within CoreHR.    You can then use the</t>
  </si>
  <si>
    <t>2. We must also keep a brief summary of how the individual was identified as being suitable for the role:</t>
  </si>
  <si>
    <r>
      <t>Application details</t>
    </r>
    <r>
      <rPr>
        <sz val="9"/>
        <color theme="1"/>
        <rFont val="Arial"/>
        <family val="2"/>
      </rPr>
      <t xml:space="preserve"> </t>
    </r>
    <r>
      <rPr>
        <i/>
        <sz val="10"/>
        <color rgb="FF7030A0"/>
        <rFont val="Arial"/>
        <family val="2"/>
      </rPr>
      <t>(</t>
    </r>
    <r>
      <rPr>
        <b/>
        <i/>
        <u/>
        <sz val="10"/>
        <color rgb="FF7030A0"/>
        <rFont val="Arial"/>
        <family val="2"/>
      </rPr>
      <t>no need to edit these fields</t>
    </r>
    <r>
      <rPr>
        <i/>
        <sz val="10"/>
        <color rgb="FF7030A0"/>
        <rFont val="Arial"/>
        <family val="2"/>
      </rPr>
      <t xml:space="preserve">, this info </t>
    </r>
    <r>
      <rPr>
        <b/>
        <i/>
        <sz val="10"/>
        <color rgb="FF7030A0"/>
        <rFont val="Arial"/>
        <family val="2"/>
      </rPr>
      <t>autopopulates</t>
    </r>
    <r>
      <rPr>
        <i/>
        <sz val="10"/>
        <color rgb="FF7030A0"/>
        <rFont val="Arial"/>
        <family val="2"/>
      </rPr>
      <t xml:space="preserve"> from main CoS application form)</t>
    </r>
  </si>
  <si>
    <r>
      <t>Authorisation</t>
    </r>
    <r>
      <rPr>
        <b/>
        <sz val="11"/>
        <rFont val="Arial"/>
        <family val="2"/>
      </rPr>
      <t xml:space="preserve"> </t>
    </r>
    <r>
      <rPr>
        <i/>
        <sz val="10"/>
        <color rgb="FF7030A0"/>
        <rFont val="Arial"/>
        <family val="2"/>
      </rPr>
      <t>(</t>
    </r>
    <r>
      <rPr>
        <b/>
        <i/>
        <u/>
        <sz val="10"/>
        <color rgb="FF7030A0"/>
        <rFont val="Arial"/>
        <family val="2"/>
      </rPr>
      <t>no need to complete these fields</t>
    </r>
    <r>
      <rPr>
        <i/>
        <sz val="10"/>
        <color rgb="FF7030A0"/>
        <rFont val="Arial"/>
        <family val="2"/>
      </rPr>
      <t xml:space="preserve"> as this information will </t>
    </r>
    <r>
      <rPr>
        <b/>
        <i/>
        <sz val="10"/>
        <color rgb="FF7030A0"/>
        <rFont val="Arial"/>
        <family val="2"/>
      </rPr>
      <t>autopopulate</t>
    </r>
    <r>
      <rPr>
        <i/>
        <sz val="10"/>
        <color rgb="FF7030A0"/>
        <rFont val="Arial"/>
        <family val="2"/>
      </rPr>
      <t xml:space="preserve"> when the 'Payment and Authorisation' section is completed at the end of the main CoS application form)</t>
    </r>
  </si>
  <si>
    <t>--- FOR SIT USE ONLY ---</t>
  </si>
  <si>
    <t>the applicant must obtain an 'English proficientcy' certificate from UK ENIC in order to verify that their qualification is recognised.  UK ENIC (which was called UK NARIC until March 2021) charge a fee for this. The applicant will have to apply for the certificate online at:</t>
  </si>
  <si>
    <t>Please provide a brief summary of the background to the direct appointment:</t>
  </si>
  <si>
    <t>ATAS exempt nationalities - as of 01/05/21</t>
  </si>
  <si>
    <t>Does the applicant's role involve research, or work as part of a team conducting research, in one or more of the subjects where ATAS applies?</t>
  </si>
  <si>
    <t>SOC code</t>
  </si>
  <si>
    <t>ATAS requirement must be explored, and if required an ATAS certificate obtained, before the CoS is issued</t>
  </si>
  <si>
    <t>Role involves research/ team work in a subject where ATAS applies?</t>
  </si>
  <si>
    <t>Does the ATAS requirement apply in this case?</t>
  </si>
  <si>
    <r>
      <t xml:space="preserve">Date applicant applied for ATAS certificate - </t>
    </r>
    <r>
      <rPr>
        <i/>
        <sz val="11"/>
        <color rgb="FF7030A0"/>
        <rFont val="Calibri"/>
        <family val="2"/>
        <scheme val="minor"/>
      </rPr>
      <t>DD/MM/YY</t>
    </r>
  </si>
  <si>
    <r>
      <t xml:space="preserve">Date ATAS certificate received - </t>
    </r>
    <r>
      <rPr>
        <i/>
        <sz val="11"/>
        <color rgb="FF7030A0"/>
        <rFont val="Calibri"/>
        <family val="2"/>
        <scheme val="minor"/>
      </rPr>
      <t>DD/MM/YY</t>
    </r>
  </si>
  <si>
    <t>Please remember to save a copy of the ATAS cert in the CoS application folder</t>
  </si>
  <si>
    <t>ATAS certificate number</t>
  </si>
  <si>
    <t>ATAS (SN) wording</t>
  </si>
  <si>
    <r>
      <rPr>
        <u/>
        <sz val="8"/>
        <rFont val="Calibri"/>
        <family val="2"/>
        <scheme val="minor"/>
      </rPr>
      <t xml:space="preserve">ATAS SOC Codes: </t>
    </r>
    <r>
      <rPr>
        <sz val="8"/>
        <rFont val="Calibri"/>
        <family val="2"/>
        <scheme val="minor"/>
      </rPr>
      <t xml:space="preserve">      2111 Chemical Scientists    2112 Biological Scientists &amp; Biochemists    2113 Physical Scientists    2114 Social &amp; Humanities Scientists    </t>
    </r>
    <r>
      <rPr>
        <b/>
        <sz val="8"/>
        <rFont val="Calibri"/>
        <family val="2"/>
        <scheme val="minor"/>
      </rPr>
      <t>2119 Natural &amp; Social Sciences n.e.c.</t>
    </r>
    <r>
      <rPr>
        <sz val="8"/>
        <rFont val="Calibri"/>
        <family val="2"/>
        <scheme val="minor"/>
      </rPr>
      <t xml:space="preserve">    2150 (Product) R&amp;D managers    2122 Mechanical Engineers    2123 Electrical Engineers    2124 Electroncis Engineers    2127 Production &amp; Process Engineers    2129 Engineers n.e.c.    </t>
    </r>
    <r>
      <rPr>
        <b/>
        <sz val="8"/>
        <rFont val="Calibri"/>
        <family val="2"/>
        <scheme val="minor"/>
      </rPr>
      <t>2311 Higher Education teaching professionals</t>
    </r>
    <r>
      <rPr>
        <sz val="8"/>
        <rFont val="Calibri"/>
        <family val="2"/>
        <scheme val="minor"/>
      </rPr>
      <t xml:space="preserve">    </t>
    </r>
    <r>
      <rPr>
        <b/>
        <sz val="8"/>
        <rFont val="Calibri"/>
        <family val="2"/>
        <scheme val="minor"/>
      </rPr>
      <t>3111 Laboratory Technicians</t>
    </r>
    <r>
      <rPr>
        <sz val="8"/>
        <rFont val="Calibri"/>
        <family val="2"/>
        <scheme val="minor"/>
      </rPr>
      <t xml:space="preserve">    3112 Electrical &amp; Electronics Technicians    3113 Engineering Technicians    3114 Building &amp; Civil Engineering Technicians    5235 Aircraft Maintenance &amp; related trades</t>
    </r>
  </si>
  <si>
    <t>https://www.gov.uk/guidance/immigration-rules/immigration-rules-appendix-atas-academic-technology-approval-scheme-atas</t>
  </si>
  <si>
    <t>https://staffimmigration.admin.ox.ac.uk/atas-researchers</t>
  </si>
  <si>
    <t>For more information on the process see:</t>
  </si>
  <si>
    <t>Please identify if ATAS applies by looking up the one or more relevant research subjects in the list found at:</t>
  </si>
  <si>
    <t>Enter all CAH3 codes (i.e. 03-01-10) for subjects you have identified as relevant to the applicant's role from the full list at the link above. The idenfitication of relevant subjects should be led by the PI/Supervisor.</t>
  </si>
  <si>
    <r>
      <t xml:space="preserve">If the applicant's role involves research, or being part of a team conducting research, which falls under one or more of the subjects where ATAS applies they </t>
    </r>
    <r>
      <rPr>
        <b/>
        <u/>
        <sz val="11"/>
        <color theme="1"/>
        <rFont val="Arial"/>
        <family val="2"/>
      </rPr>
      <t>must</t>
    </r>
    <r>
      <rPr>
        <sz val="11"/>
        <color theme="1"/>
        <rFont val="Arial"/>
        <family val="2"/>
      </rPr>
      <t xml:space="preserve"> apply to the Foreign, Commonwealth and Development Office (FCDO) to obtain an ATAS certificate </t>
    </r>
    <r>
      <rPr>
        <b/>
        <u/>
        <sz val="11"/>
        <color theme="1"/>
        <rFont val="Arial"/>
        <family val="2"/>
      </rPr>
      <t>before we can issue the CoS.</t>
    </r>
    <r>
      <rPr>
        <b/>
        <sz val="11"/>
        <color theme="1"/>
        <rFont val="Arial"/>
        <family val="2"/>
      </rPr>
      <t xml:space="preserve"> </t>
    </r>
    <r>
      <rPr>
        <sz val="11"/>
        <color theme="1"/>
        <rFont val="Arial"/>
        <family val="2"/>
      </rPr>
      <t>Applications should be processed within 10 working days (2 weeks) but may take longer.</t>
    </r>
  </si>
  <si>
    <r>
      <rPr>
        <b/>
        <sz val="11"/>
        <rFont val="Arial"/>
        <family val="2"/>
      </rPr>
      <t>Job Description</t>
    </r>
    <r>
      <rPr>
        <sz val="11"/>
        <rFont val="Arial"/>
        <family val="2"/>
      </rPr>
      <t xml:space="preserve">/ </t>
    </r>
    <r>
      <rPr>
        <b/>
        <sz val="11"/>
        <rFont val="Arial"/>
        <family val="2"/>
      </rPr>
      <t>Further particulars</t>
    </r>
    <r>
      <rPr>
        <sz val="11"/>
        <rFont val="Arial"/>
        <family val="2"/>
      </rPr>
      <t xml:space="preserve"> for the post. This is required in every case, even when exempt from advertising.</t>
    </r>
    <r>
      <rPr>
        <sz val="9"/>
        <rFont val="Arial"/>
        <family val="2"/>
      </rPr>
      <t xml:space="preserve"> </t>
    </r>
    <r>
      <rPr>
        <i/>
        <sz val="11"/>
        <color rgb="FF7030A0"/>
        <rFont val="Arial"/>
        <family val="2"/>
      </rPr>
      <t>(SURNAME,Initials-</t>
    </r>
    <r>
      <rPr>
        <b/>
        <i/>
        <sz val="11"/>
        <color rgb="FF7030A0"/>
        <rFont val="Arial"/>
        <family val="2"/>
      </rPr>
      <t>jd</t>
    </r>
    <r>
      <rPr>
        <i/>
        <sz val="11"/>
        <color rgb="FF7030A0"/>
        <rFont val="Arial"/>
        <family val="2"/>
      </rPr>
      <t>-dd-mm-yy.pdf)</t>
    </r>
  </si>
  <si>
    <r>
      <t xml:space="preserve">Copy of finalised </t>
    </r>
    <r>
      <rPr>
        <b/>
        <sz val="11"/>
        <rFont val="Arial"/>
        <family val="2"/>
      </rPr>
      <t>HR ATAS Letter</t>
    </r>
    <r>
      <rPr>
        <sz val="11"/>
        <rFont val="Arial"/>
        <family val="2"/>
      </rPr>
      <t xml:space="preserve"> (based on SIT template) issued to applicant detailing ATAS requirements </t>
    </r>
    <r>
      <rPr>
        <i/>
        <sz val="11"/>
        <color rgb="FF7030A0"/>
        <rFont val="Arial"/>
        <family val="2"/>
      </rPr>
      <t>(SURNAME,Initials-</t>
    </r>
    <r>
      <rPr>
        <b/>
        <i/>
        <sz val="11"/>
        <color rgb="FF7030A0"/>
        <rFont val="Arial"/>
        <family val="2"/>
      </rPr>
      <t>ATAS letter</t>
    </r>
    <r>
      <rPr>
        <i/>
        <sz val="11"/>
        <color rgb="FF7030A0"/>
        <rFont val="Arial"/>
        <family val="2"/>
      </rPr>
      <t>-dd-mm-yy.pdf)</t>
    </r>
  </si>
  <si>
    <t>ATAS Letter</t>
  </si>
  <si>
    <t>Confirmed whether or not ATAS applies</t>
  </si>
  <si>
    <t>If ATAS applies, has HR Letter been issued to applicant?</t>
  </si>
  <si>
    <t>CAH3 codes dept/ faculty/ college has identitied</t>
  </si>
  <si>
    <t>CAH code notes:</t>
  </si>
  <si>
    <t>CAH3 codes checked</t>
  </si>
  <si>
    <r>
      <t xml:space="preserve">SIT will advise whether the applicant will need to submit written consent from the organisation which sponsored their studies to their staying in the UK for an unlimited period. </t>
    </r>
    <r>
      <rPr>
        <b/>
        <sz val="11"/>
        <rFont val="Calibri"/>
        <family val="2"/>
        <scheme val="minor"/>
      </rPr>
      <t>PLEASE NOTE: If a consent letter is required and is not submitted the Home Office will refuse the applicant's Skilled Worker visa application.</t>
    </r>
  </si>
  <si>
    <r>
      <t xml:space="preserve">For applicants </t>
    </r>
    <r>
      <rPr>
        <b/>
        <sz val="11"/>
        <color theme="1"/>
        <rFont val="Arial"/>
        <family val="2"/>
      </rPr>
      <t>switching from a Tier 4 student visa</t>
    </r>
    <r>
      <rPr>
        <sz val="11"/>
        <color theme="1"/>
        <rFont val="Arial"/>
        <family val="2"/>
      </rPr>
      <t xml:space="preserve"> who have been </t>
    </r>
    <r>
      <rPr>
        <b/>
        <sz val="11"/>
        <color theme="1"/>
        <rFont val="Arial"/>
        <family val="2"/>
      </rPr>
      <t xml:space="preserve">sponsored by the </t>
    </r>
    <r>
      <rPr>
        <b/>
        <u/>
        <sz val="11"/>
        <color theme="1"/>
        <rFont val="Arial"/>
        <family val="2"/>
      </rPr>
      <t>UK Government, the applicant’s home government, or an international scholarship agency</t>
    </r>
    <r>
      <rPr>
        <b/>
        <sz val="11"/>
        <color theme="1"/>
        <rFont val="Arial"/>
        <family val="2"/>
      </rPr>
      <t xml:space="preserve"> within the past 12 months</t>
    </r>
    <r>
      <rPr>
        <sz val="11"/>
        <color theme="1"/>
        <rFont val="Arial"/>
        <family val="2"/>
      </rPr>
      <t xml:space="preserve"> - the organisation’s consent in writing giving permission for the applicant to remain in the UK. The evidence must be original, issued by an authorised official of the organisation on their official letter-headed paper or stationery.</t>
    </r>
    <r>
      <rPr>
        <sz val="9"/>
        <color theme="1"/>
        <rFont val="Arial"/>
        <family val="2"/>
      </rPr>
      <t xml:space="preserve"> </t>
    </r>
    <r>
      <rPr>
        <sz val="11"/>
        <color rgb="FF7030A0"/>
        <rFont val="Arial"/>
        <family val="2"/>
      </rPr>
      <t>(</t>
    </r>
    <r>
      <rPr>
        <i/>
        <sz val="11"/>
        <color rgb="FF7030A0"/>
        <rFont val="Arial"/>
        <family val="2"/>
      </rPr>
      <t>SURNAME,Initials-</t>
    </r>
    <r>
      <rPr>
        <b/>
        <i/>
        <sz val="11"/>
        <color rgb="FF7030A0"/>
        <rFont val="Arial"/>
        <family val="2"/>
      </rPr>
      <t>consent</t>
    </r>
    <r>
      <rPr>
        <i/>
        <sz val="11"/>
        <color rgb="FF7030A0"/>
        <rFont val="Arial"/>
        <family val="2"/>
      </rPr>
      <t>-dd-mm-yy.pdf</t>
    </r>
    <r>
      <rPr>
        <sz val="11"/>
        <color rgb="FF7030A0"/>
        <rFont val="Arial"/>
        <family val="2"/>
      </rPr>
      <t xml:space="preserve">) </t>
    </r>
  </si>
  <si>
    <r>
      <t>PLEASE NOTE</t>
    </r>
    <r>
      <rPr>
        <i/>
        <sz val="10"/>
        <color theme="1"/>
        <rFont val="Arial"/>
        <family val="2"/>
      </rPr>
      <t>: if an applicant is required to provide a consent letter and does not, or their organisation does not give consent, their Skilled Worker visa application will be refused.</t>
    </r>
  </si>
  <si>
    <t>https://staffimmigration.web.ox.ac.uk/atas-full-cah-code-list</t>
  </si>
  <si>
    <t>If ATAS applies, has an HR Letter been provided to the applicant</t>
  </si>
  <si>
    <t>(based on our Template) ?</t>
  </si>
  <si>
    <t>When applying for a Skilled Worker visa from outside of the UK for roles which fall under some job codes there is a requirement to provide overseas criminal record certificates. Job codes on the list relevant to the collegiate University include SOC code 2317, used for senior administrative posts such as ‘Course Director’ or ‘Director of studies’, and SOC code 2319, used for some Language roles. SIT will confirm if the requirement applies in this case and assist applicants who are affected. More details can be found at:</t>
  </si>
  <si>
    <t>Before you start:</t>
  </si>
  <si>
    <t>Other possible visa routes to consider</t>
  </si>
  <si>
    <t>eligible individual fellowship</t>
  </si>
  <si>
    <t>will be more appropriate if the applicant</t>
  </si>
  <si>
    <t>these organisations</t>
  </si>
  <si>
    <t>- the grant award is at least 2 years in duration</t>
  </si>
  <si>
    <t>- they will spend at least 50% of their time contributing to the grant</t>
  </si>
  <si>
    <t xml:space="preserve"> - has been selected for an </t>
  </si>
  <si>
    <t>academic or research appointment</t>
  </si>
  <si>
    <t>AND</t>
  </si>
  <si>
    <r>
      <t>(</t>
    </r>
    <r>
      <rPr>
        <i/>
        <u/>
        <sz val="11"/>
        <color theme="1"/>
        <rFont val="Arial"/>
        <family val="2"/>
      </rPr>
      <t>for a specialist technical role</t>
    </r>
    <r>
      <rPr>
        <i/>
        <sz val="11"/>
        <color theme="1"/>
        <rFont val="Arial"/>
        <family val="2"/>
      </rPr>
      <t>)</t>
    </r>
  </si>
  <si>
    <r>
      <rPr>
        <b/>
        <u/>
        <sz val="14"/>
        <color theme="10"/>
        <rFont val="Arial"/>
        <family val="2"/>
      </rPr>
      <t>Graduate</t>
    </r>
    <r>
      <rPr>
        <u/>
        <sz val="14"/>
        <color theme="10"/>
        <rFont val="Arial"/>
        <family val="2"/>
      </rPr>
      <t xml:space="preserve"> visa route </t>
    </r>
  </si>
  <si>
    <r>
      <t xml:space="preserve">The </t>
    </r>
    <r>
      <rPr>
        <b/>
        <u/>
        <sz val="14"/>
        <color theme="10"/>
        <rFont val="Arial"/>
        <family val="2"/>
      </rPr>
      <t>Global Talent</t>
    </r>
    <r>
      <rPr>
        <u/>
        <sz val="14"/>
        <color theme="10"/>
        <rFont val="Arial"/>
        <family val="2"/>
      </rPr>
      <t xml:space="preserve"> visa route </t>
    </r>
  </si>
  <si>
    <t>- their university has reported successful completion of their course to the Home Office</t>
  </si>
  <si>
    <t>their tuition fees and living costs in the last 12 months</t>
  </si>
  <si>
    <t>- have completed their course and have been, or will be, awarded the qualification</t>
  </si>
  <si>
    <t>- have consent from any government or international scholarship agency which funded</t>
  </si>
  <si>
    <t>If the applicant is a Tier 4/ Student visa holder, they may want to consider applying under the</t>
  </si>
  <si>
    <t>provide useful guidance on this route</t>
  </si>
  <si>
    <t xml:space="preserve">The UK Council for International Student Affairs (UKCISA) </t>
  </si>
  <si>
    <r>
      <t xml:space="preserve">or equivalent overseas research degree </t>
    </r>
    <r>
      <rPr>
        <b/>
        <sz val="11"/>
        <color theme="1"/>
        <rFont val="Arial"/>
        <family val="2"/>
      </rPr>
      <t>AND</t>
    </r>
    <r>
      <rPr>
        <sz val="11"/>
        <color theme="1"/>
        <rFont val="Arial"/>
        <family val="2"/>
      </rPr>
      <t xml:space="preserve"> research experience</t>
    </r>
  </si>
  <si>
    <r>
      <rPr>
        <b/>
        <i/>
        <sz val="11"/>
        <color rgb="FF7030A0"/>
        <rFont val="Calibri"/>
        <family val="2"/>
        <scheme val="minor"/>
      </rPr>
      <t>NOTE</t>
    </r>
    <r>
      <rPr>
        <i/>
        <sz val="11"/>
        <color rgb="FF7030A0"/>
        <rFont val="Calibri"/>
        <family val="2"/>
        <scheme val="minor"/>
      </rPr>
      <t>: only rely on PhD tradeable points if you have to, overseas PhD would need UK ENIC verification!</t>
    </r>
  </si>
  <si>
    <t>The ATAS requirement (which has been expanded, from Student, to Skilled Worker &amp; Tier 5 applications, and Visitors) applies to those carrying out research in sensitive subjects, where knowledge could be used to develop military technology, weapons of mass destruction, or the means of delivering weapons. The subjects cover all MPLS departments, and some Medical Sciences and Social Sciences departments. Humanities facultys may be less affected but will still need to consider cross disciplinary areas.</t>
  </si>
  <si>
    <t>Paul Deeble</t>
  </si>
  <si>
    <t>Lyn Davis</t>
  </si>
  <si>
    <t>Richard Birt</t>
  </si>
  <si>
    <t>lyn.davis@admin.ox.ac.uk</t>
  </si>
  <si>
    <t>richard.birt@admin.ox.ac.uk</t>
  </si>
  <si>
    <t>CESC countries - fees concession no longer applies 26/02/22</t>
  </si>
  <si>
    <t>SW CoS fee</t>
  </si>
  <si>
    <t>Police Registration List - abolished 09/11/2022</t>
  </si>
  <si>
    <t>British Overseas Territories</t>
  </si>
  <si>
    <t>English speaking countries - as of 09/11/2022</t>
  </si>
  <si>
    <t>Biology - Plant Sciences</t>
  </si>
  <si>
    <t>Biology - Zoology</t>
  </si>
  <si>
    <t>CB</t>
  </si>
  <si>
    <t>Biology</t>
  </si>
  <si>
    <t>Faculty of Asian and Middle Eastern Studies</t>
  </si>
  <si>
    <t>CM</t>
  </si>
  <si>
    <t>NDM</t>
  </si>
  <si>
    <t>CN</t>
  </si>
  <si>
    <t>NDM (CAMS)</t>
  </si>
  <si>
    <t>CW</t>
  </si>
  <si>
    <t>S1</t>
  </si>
  <si>
    <t>Reuben College</t>
  </si>
  <si>
    <t>e.g. a current or previous Tier 4/ Student visa or Tier 2/ Skilled Worker visa.</t>
  </si>
  <si>
    <t>(This should be a brief paragraph or two explaining to what extent they met the selection criteria set out in the job description/ further particulars, and how they performed at interview.)</t>
  </si>
  <si>
    <t>Funder consent/ Financial sponsorship under Tier 4/ Student?</t>
  </si>
  <si>
    <t>for recent graduates of top global non-UK universities.</t>
  </si>
  <si>
    <r>
      <rPr>
        <b/>
        <u/>
        <sz val="14"/>
        <color theme="10"/>
        <rFont val="Arial"/>
        <family val="2"/>
      </rPr>
      <t>High Potential Individual</t>
    </r>
    <r>
      <rPr>
        <u/>
        <sz val="14"/>
        <color theme="10"/>
        <rFont val="Arial"/>
        <family val="2"/>
      </rPr>
      <t xml:space="preserve"> (HPI) visa route</t>
    </r>
  </si>
  <si>
    <t>Home Office list of eligible universities for the year in which they graduated</t>
  </si>
  <si>
    <t>They may also want to consider the</t>
  </si>
  <si>
    <t>Similar to the Graduate visa route, but based on having graduated (with a degree or above) in the last 5 years from a top global university (outside the UK) which appears in the Home Office's list of eligible universities for the year of their graduation. Unlike the Graduate visa route, the same English language and Maintenance requirements apply as in a Skilled Worker application. Those interested should check the:</t>
  </si>
  <si>
    <t>DEFAULT YES IN ALL CASES</t>
  </si>
  <si>
    <t>Departments/ colleges certify maintenance on behalf of the applicant and their dependants so they do not have to submit bank statements with their visa applications.</t>
  </si>
  <si>
    <r>
      <t xml:space="preserve">Maintenance requirement  </t>
    </r>
    <r>
      <rPr>
        <b/>
        <i/>
        <sz val="11"/>
        <color theme="1"/>
        <rFont val="Arial"/>
        <family val="2"/>
      </rPr>
      <t>[Now automatically selected to simplify the application process]</t>
    </r>
  </si>
  <si>
    <r>
      <t xml:space="preserve">Maintenance requirement  </t>
    </r>
    <r>
      <rPr>
        <i/>
        <u/>
        <sz val="10"/>
        <color theme="1"/>
        <rFont val="Calibri"/>
        <family val="2"/>
        <scheme val="minor"/>
      </rPr>
      <t>[now automatically selected to simplify application]</t>
    </r>
  </si>
  <si>
    <t>Age criteria for 'New Entrant' (if not 2119 or 2311)</t>
  </si>
  <si>
    <t>A5</t>
  </si>
  <si>
    <t>DPAG Bionanoscience</t>
  </si>
  <si>
    <t>Experimental Psychology - LaMB shared building services</t>
  </si>
  <si>
    <t>BDI-NDM</t>
  </si>
  <si>
    <t>NDM Immuno-Oncology</t>
  </si>
  <si>
    <t>Nuffield Department of Women’s &amp; Reproductive Health</t>
  </si>
  <si>
    <t>Oxford School of Global and Area Studies (was SIAS)</t>
  </si>
  <si>
    <t>PS</t>
  </si>
  <si>
    <t>NDM - Pandemic Sciences Institute</t>
  </si>
  <si>
    <t>If a qualification certificate is not in English a translated copy will also be required</t>
  </si>
  <si>
    <t>- the employment contract is for at least 1 year</t>
  </si>
  <si>
    <t>Please remember to provide a copy of a qualification certificate, or academic reference on the official headed paper of the awarding institution that confirms that the applicant has fully completed their studies, or at least 24 months of a PhD/DPhil/doctoate, to show that they are eligible to switch from a Student visa.</t>
  </si>
  <si>
    <r>
      <t xml:space="preserve">For applicants </t>
    </r>
    <r>
      <rPr>
        <b/>
        <sz val="11"/>
        <color theme="1"/>
        <rFont val="Arial"/>
        <family val="2"/>
      </rPr>
      <t>switching from a Tier 4 student visa</t>
    </r>
    <r>
      <rPr>
        <sz val="11"/>
        <color theme="1"/>
        <rFont val="Arial"/>
        <family val="2"/>
      </rPr>
      <t xml:space="preserve"> - a copy of a qualification certificate, academic transcript or academic reference, on the official headed paper of the awarding institution that confirms that the applicant has </t>
    </r>
    <r>
      <rPr>
        <b/>
        <sz val="11"/>
        <color theme="1"/>
        <rFont val="Arial"/>
        <family val="2"/>
      </rPr>
      <t>fully completed their studies, or at least 24 months of a PhD/DPhil/doctorate</t>
    </r>
    <r>
      <rPr>
        <sz val="11"/>
        <color theme="1"/>
        <rFont val="Arial"/>
        <family val="2"/>
      </rPr>
      <t>.</t>
    </r>
    <r>
      <rPr>
        <b/>
        <sz val="11"/>
        <color theme="1"/>
        <rFont val="Arial"/>
        <family val="2"/>
      </rPr>
      <t xml:space="preserve"> </t>
    </r>
    <r>
      <rPr>
        <sz val="11"/>
        <color theme="1"/>
        <rFont val="Arial"/>
        <family val="2"/>
      </rPr>
      <t xml:space="preserve">The academic reference must show the applicant’s name, the course title/award and the duration of the course. </t>
    </r>
    <r>
      <rPr>
        <sz val="11"/>
        <color rgb="FF7030A0"/>
        <rFont val="Arial"/>
        <family val="2"/>
      </rPr>
      <t>(</t>
    </r>
    <r>
      <rPr>
        <i/>
        <sz val="11"/>
        <color rgb="FF7030A0"/>
        <rFont val="Arial"/>
        <family val="2"/>
      </rPr>
      <t>SURNAME,Initials-</t>
    </r>
    <r>
      <rPr>
        <b/>
        <i/>
        <sz val="11"/>
        <color rgb="FF7030A0"/>
        <rFont val="Arial"/>
        <family val="2"/>
      </rPr>
      <t>academicref</t>
    </r>
    <r>
      <rPr>
        <i/>
        <sz val="11"/>
        <color rgb="FF7030A0"/>
        <rFont val="Arial"/>
        <family val="2"/>
      </rPr>
      <t>-dd-mm-yy.pdf</t>
    </r>
    <r>
      <rPr>
        <sz val="11"/>
        <color rgb="FF7030A0"/>
        <rFont val="Arial"/>
        <family val="2"/>
      </rPr>
      <t>)</t>
    </r>
  </si>
  <si>
    <r>
      <rPr>
        <b/>
        <sz val="11"/>
        <color theme="1"/>
        <rFont val="Arial"/>
        <family val="2"/>
      </rPr>
      <t xml:space="preserve">Colleges: </t>
    </r>
    <r>
      <rPr>
        <sz val="11"/>
        <color theme="1"/>
        <rFont val="Arial"/>
        <family val="2"/>
      </rPr>
      <t>We are unable to cross-charge application fees to colleges. Instead the college contact (listed in the Authorisation section below) will be sent an invoice for this fee within the month after the CoS is issued.</t>
    </r>
  </si>
  <si>
    <t>College invoice discussed ?</t>
  </si>
  <si>
    <t>CoS can be issued when ready as long as College is happy that the fees invoice will be sent to the contact named below</t>
  </si>
  <si>
    <r>
      <t xml:space="preserve">If the applicant is applying from outside the UK, is </t>
    </r>
    <r>
      <rPr>
        <b/>
        <u/>
        <sz val="11"/>
        <color theme="1"/>
        <rFont val="Arial"/>
        <family val="2"/>
      </rPr>
      <t>coming to the UK for longer than six months</t>
    </r>
    <r>
      <rPr>
        <sz val="11"/>
        <color theme="1"/>
        <rFont val="Arial"/>
        <family val="2"/>
      </rPr>
      <t xml:space="preserve">, they have </t>
    </r>
    <r>
      <rPr>
        <b/>
        <u/>
        <sz val="11"/>
        <color theme="1"/>
        <rFont val="Arial"/>
        <family val="2"/>
      </rPr>
      <t>lived in a listed country or countries for longer than six months</t>
    </r>
    <r>
      <rPr>
        <sz val="11"/>
        <color theme="1"/>
        <rFont val="Arial"/>
        <family val="2"/>
      </rPr>
      <t xml:space="preserve">, and they have </t>
    </r>
    <r>
      <rPr>
        <b/>
        <u/>
        <sz val="11"/>
        <color theme="1"/>
        <rFont val="Arial"/>
        <family val="2"/>
      </rPr>
      <t>lived in one of these listed countries in the last six months</t>
    </r>
    <r>
      <rPr>
        <sz val="11"/>
        <color theme="1"/>
        <rFont val="Arial"/>
        <family val="2"/>
      </rPr>
      <t xml:space="preserve">, they must provide a valid Tuberculosis (TB) certificate. The certificate must be issued by a Home Office approved medical practitioner after a test at an approved clinic, and confirm that the applicant has undergone screening for, and has been diagnosed as being free from, active pulmonary tuberculosis (TB). The </t>
    </r>
    <r>
      <rPr>
        <b/>
        <sz val="11"/>
        <color theme="1"/>
        <rFont val="Arial"/>
        <family val="2"/>
      </rPr>
      <t>list of countries</t>
    </r>
    <r>
      <rPr>
        <sz val="11"/>
        <color theme="1"/>
        <rFont val="Arial"/>
        <family val="2"/>
      </rPr>
      <t>, country-specific guidance on the testing process, and lists of approved testing clinics in each country, are found here:</t>
    </r>
  </si>
  <si>
    <r>
      <t>NHS Surcharge (per annum)</t>
    </r>
    <r>
      <rPr>
        <sz val="11"/>
        <color theme="1"/>
        <rFont val="Calibri"/>
        <family val="2"/>
        <scheme val="minor"/>
      </rPr>
      <t xml:space="preserve"> </t>
    </r>
    <r>
      <rPr>
        <i/>
        <sz val="11"/>
        <color theme="1"/>
        <rFont val="Calibri"/>
        <family val="2"/>
        <scheme val="minor"/>
      </rPr>
      <t>w.e.f. 06/02/24</t>
    </r>
  </si>
  <si>
    <t>UPDATED 01/02/2024</t>
  </si>
  <si>
    <t>A3</t>
  </si>
  <si>
    <t>Paediatrics (IDRM)</t>
  </si>
  <si>
    <t>AK</t>
  </si>
  <si>
    <t>C1</t>
  </si>
  <si>
    <t>NDM Ops</t>
  </si>
  <si>
    <t>CL</t>
  </si>
  <si>
    <t>NDPH Demography</t>
  </si>
  <si>
    <t>The Centre for Human Genetics</t>
  </si>
  <si>
    <t>L4</t>
  </si>
  <si>
    <t>Development &amp; External Affairs Directorate</t>
  </si>
  <si>
    <t>paul.deeble@admin.ox.ac.uk</t>
  </si>
  <si>
    <t>With new higher salary thresholds from 4 April 2024 we may have to rely on 'tradeable points' more often. Please provide the following information to help us consider tradeable points options. Please also provide copies of any previous UK visas, and the applicant's PhD certificate or award letter, if applicable.</t>
  </si>
  <si>
    <r>
      <t>For ALL applicants</t>
    </r>
    <r>
      <rPr>
        <b/>
        <sz val="11"/>
        <color theme="1"/>
        <rFont val="Arial"/>
        <family val="2"/>
      </rPr>
      <t xml:space="preserve">: please provide copies of </t>
    </r>
    <r>
      <rPr>
        <b/>
        <u/>
        <sz val="11"/>
        <color theme="1"/>
        <rFont val="Arial"/>
        <family val="2"/>
      </rPr>
      <t>any/ all</t>
    </r>
    <r>
      <rPr>
        <b/>
        <sz val="11"/>
        <color theme="1"/>
        <rFont val="Arial"/>
        <family val="2"/>
      </rPr>
      <t xml:space="preserve"> previous UK visas</t>
    </r>
  </si>
  <si>
    <r>
      <t xml:space="preserve">For </t>
    </r>
    <r>
      <rPr>
        <b/>
        <u/>
        <sz val="11"/>
        <rFont val="Arial"/>
        <family val="2"/>
      </rPr>
      <t>ALL</t>
    </r>
    <r>
      <rPr>
        <sz val="11"/>
        <rFont val="Arial"/>
        <family val="2"/>
      </rPr>
      <t xml:space="preserve"> applicants - copies of any</t>
    </r>
    <r>
      <rPr>
        <b/>
        <sz val="11"/>
        <rFont val="Arial"/>
        <family val="2"/>
      </rPr>
      <t xml:space="preserve"> current and previous UK visas</t>
    </r>
    <r>
      <rPr>
        <sz val="11"/>
        <rFont val="Arial"/>
        <family val="2"/>
      </rPr>
      <t xml:space="preserve"> (in any category) and any previous Tier 2/ Skilled Worker </t>
    </r>
    <r>
      <rPr>
        <b/>
        <sz val="11"/>
        <rFont val="Arial"/>
        <family val="2"/>
      </rPr>
      <t>visas</t>
    </r>
    <r>
      <rPr>
        <sz val="11"/>
        <rFont val="Arial"/>
        <family val="2"/>
      </rPr>
      <t>.</t>
    </r>
  </si>
  <si>
    <r>
      <t>A Graduate visa does not restrict employment, but does not count towards ILR.</t>
    </r>
    <r>
      <rPr>
        <sz val="11"/>
        <color theme="1"/>
        <rFont val="Arial"/>
        <family val="2"/>
      </rPr>
      <t xml:space="preserve"> If based on a completed degree the visa will be valid for 2 years, 3 years if based on a completed Masters or PhD/ DPhil.</t>
    </r>
  </si>
  <si>
    <r>
      <t>An HPI visa does not restrict employment, but does not count towards ILR.</t>
    </r>
    <r>
      <rPr>
        <sz val="11"/>
        <color theme="1"/>
        <rFont val="Arial"/>
        <family val="2"/>
      </rPr>
      <t xml:space="preserve"> If based on a completed degree the visa will be valid for 2 years, 3 years if based on a completed Masters or PhD/ DPhil.</t>
    </r>
  </si>
  <si>
    <r>
      <t xml:space="preserve">- is taking up a </t>
    </r>
    <r>
      <rPr>
        <b/>
        <sz val="11"/>
        <color theme="1"/>
        <rFont val="Arial"/>
        <family val="2"/>
      </rPr>
      <t>research</t>
    </r>
    <r>
      <rPr>
        <sz val="11"/>
        <color theme="1"/>
        <rFont val="Arial"/>
        <family val="2"/>
      </rPr>
      <t xml:space="preserve"> or </t>
    </r>
    <r>
      <rPr>
        <b/>
        <sz val="11"/>
        <color theme="1"/>
        <rFont val="Arial"/>
        <family val="2"/>
      </rPr>
      <t>specialist technical</t>
    </r>
    <r>
      <rPr>
        <sz val="11"/>
        <color theme="1"/>
        <rFont val="Arial"/>
        <family val="2"/>
      </rPr>
      <t xml:space="preserve"> </t>
    </r>
    <r>
      <rPr>
        <i/>
        <sz val="10"/>
        <color theme="1"/>
        <rFont val="Arial"/>
        <family val="2"/>
      </rPr>
      <t>(e.g. IT, Engineering, Bio-informatician)</t>
    </r>
  </si>
  <si>
    <t>role funded by one of</t>
  </si>
  <si>
    <r>
      <t xml:space="preserve">- they have a PhD </t>
    </r>
    <r>
      <rPr>
        <i/>
        <sz val="11"/>
        <color theme="1"/>
        <rFont val="Arial"/>
        <family val="2"/>
      </rPr>
      <t>(</t>
    </r>
    <r>
      <rPr>
        <i/>
        <u/>
        <sz val="11"/>
        <color theme="1"/>
        <rFont val="Arial"/>
        <family val="2"/>
      </rPr>
      <t>for a research role</t>
    </r>
    <r>
      <rPr>
        <i/>
        <sz val="11"/>
        <color theme="1"/>
        <rFont val="Arial"/>
        <family val="2"/>
      </rPr>
      <t>)</t>
    </r>
    <r>
      <rPr>
        <sz val="11"/>
        <color theme="1"/>
        <rFont val="Arial"/>
        <family val="2"/>
      </rPr>
      <t xml:space="preserve"> </t>
    </r>
    <r>
      <rPr>
        <b/>
        <sz val="11"/>
        <color theme="1"/>
        <rFont val="Arial"/>
        <family val="2"/>
      </rPr>
      <t>OR</t>
    </r>
    <r>
      <rPr>
        <sz val="11"/>
        <color theme="1"/>
        <rFont val="Arial"/>
        <family val="2"/>
      </rPr>
      <t xml:space="preserve"> a UK Bachelors degree</t>
    </r>
  </si>
  <si>
    <t>Is this a research role?</t>
  </si>
  <si>
    <t>The job title of the role the applicant is taking up:</t>
  </si>
  <si>
    <t>The funding organisation for this role:</t>
  </si>
  <si>
    <r>
      <t xml:space="preserve">Length of role </t>
    </r>
    <r>
      <rPr>
        <i/>
        <sz val="11"/>
        <color theme="1"/>
        <rFont val="Arial"/>
        <family val="2"/>
      </rPr>
      <t>(in years and months)</t>
    </r>
    <r>
      <rPr>
        <sz val="11"/>
        <color theme="1"/>
        <rFont val="Arial"/>
        <family val="2"/>
      </rPr>
      <t>:</t>
    </r>
  </si>
  <si>
    <r>
      <t xml:space="preserve">Length of funding </t>
    </r>
    <r>
      <rPr>
        <i/>
        <sz val="11"/>
        <color theme="1"/>
        <rFont val="Arial"/>
        <family val="2"/>
      </rPr>
      <t>(in years and months)</t>
    </r>
  </si>
  <si>
    <r>
      <t xml:space="preserve">Start date of the funding </t>
    </r>
    <r>
      <rPr>
        <i/>
        <sz val="11"/>
        <color theme="1"/>
        <rFont val="Arial"/>
        <family val="2"/>
      </rPr>
      <t>(DD/MM/YYYY)</t>
    </r>
    <r>
      <rPr>
        <sz val="11"/>
        <color theme="1"/>
        <rFont val="Arial"/>
        <family val="2"/>
      </rPr>
      <t>:</t>
    </r>
  </si>
  <si>
    <r>
      <t xml:space="preserve">If </t>
    </r>
    <r>
      <rPr>
        <b/>
        <i/>
        <sz val="11"/>
        <color theme="1"/>
        <rFont val="Arial"/>
        <family val="2"/>
      </rPr>
      <t>Yes</t>
    </r>
    <r>
      <rPr>
        <sz val="11"/>
        <color theme="1"/>
        <rFont val="Arial"/>
        <family val="2"/>
      </rPr>
      <t>, do they have a PhD/ DPhil/ doctorate?</t>
    </r>
  </si>
  <si>
    <t>To help consider whether the Global Talent endorsed funder route may be appropriate instead please confirm:</t>
  </si>
  <si>
    <t>Please provide any other relevant information here:</t>
  </si>
  <si>
    <r>
      <t xml:space="preserve">If one of these alternate routes may be possible talk to SIT </t>
    </r>
    <r>
      <rPr>
        <b/>
        <i/>
        <u/>
        <sz val="10"/>
        <color rgb="FF7030A0"/>
        <rFont val="Arial"/>
        <family val="2"/>
      </rPr>
      <t>BEFORE</t>
    </r>
    <r>
      <rPr>
        <b/>
        <u/>
        <sz val="10"/>
        <color rgb="FF7030A0"/>
        <rFont val="Arial"/>
        <family val="2"/>
      </rPr>
      <t xml:space="preserve"> completing this CoS application form</t>
    </r>
  </si>
  <si>
    <t>SIT NOTES:</t>
  </si>
  <si>
    <r>
      <t xml:space="preserve">If </t>
    </r>
    <r>
      <rPr>
        <b/>
        <i/>
        <sz val="11"/>
        <color theme="1"/>
        <rFont val="Arial"/>
        <family val="2"/>
      </rPr>
      <t>Yes</t>
    </r>
    <r>
      <rPr>
        <sz val="11"/>
        <color theme="1"/>
        <rFont val="Arial"/>
        <family val="2"/>
      </rPr>
      <t xml:space="preserve">, when was this awarded? </t>
    </r>
    <r>
      <rPr>
        <i/>
        <sz val="11"/>
        <color theme="1"/>
        <rFont val="Arial"/>
        <family val="2"/>
      </rPr>
      <t>(DD/MM/YYYY)</t>
    </r>
  </si>
  <si>
    <r>
      <t xml:space="preserve">If </t>
    </r>
    <r>
      <rPr>
        <b/>
        <i/>
        <sz val="11"/>
        <color theme="1"/>
        <rFont val="Arial"/>
        <family val="2"/>
      </rPr>
      <t>Not yet</t>
    </r>
    <r>
      <rPr>
        <sz val="11"/>
        <color theme="1"/>
        <rFont val="Arial"/>
        <family val="2"/>
      </rPr>
      <t xml:space="preserve">, when will this be awarded? </t>
    </r>
    <r>
      <rPr>
        <i/>
        <sz val="11"/>
        <color theme="1"/>
        <rFont val="Arial"/>
        <family val="2"/>
      </rPr>
      <t>(DD/MM/YYYY)</t>
    </r>
  </si>
  <si>
    <t xml:space="preserve"> - has been awarded, or held in the last 5 years, an</t>
  </si>
  <si>
    <t>which involves independently leading their own research</t>
  </si>
  <si>
    <t>Boxing Day (substitute day)</t>
  </si>
  <si>
    <t>Christmas Day (substitute day)</t>
  </si>
  <si>
    <t>Tuesday</t>
  </si>
  <si>
    <t>w.e.f. 09/04/2025</t>
  </si>
  <si>
    <t>SW CoS fee:</t>
  </si>
  <si>
    <t>Please note CESC concessions ended 26 February 2022 so the same CoS fee applies for Europeans</t>
  </si>
  <si>
    <t>Switching from Tier 4/ Student IN the UK</t>
  </si>
  <si>
    <t>Switching from Graduate visa IN the UK or OUTSIDE the UK, last held Graduate &lt;2yrs before applying</t>
  </si>
  <si>
    <t>Switching from a Tier 4/ Student visa to Skilled Worker</t>
  </si>
  <si>
    <t>Sufia Nadeem</t>
  </si>
  <si>
    <t>sufia.nadeem@admin.ox.ac.uk</t>
  </si>
  <si>
    <t>Kara Updale</t>
  </si>
  <si>
    <t>kara.updale@admin.ox.ac.uk</t>
  </si>
  <si>
    <r>
      <t xml:space="preserve">ATAS (Academic Technology Approval Scheme) - </t>
    </r>
    <r>
      <rPr>
        <b/>
        <u/>
        <sz val="11"/>
        <color theme="1"/>
        <rFont val="Arial"/>
        <family val="2"/>
      </rPr>
      <t>MANDATORY VISA REQUIREMENT</t>
    </r>
  </si>
  <si>
    <t>Give registration details if there is a legal requirement for the applicant to be registered with a professional or other official organisation in the UK (e.g. GMC or NMC membership or HO PIL)</t>
  </si>
  <si>
    <r>
      <t xml:space="preserve">The Immigration Skills Charge (ISC) is charged on certain roles </t>
    </r>
    <r>
      <rPr>
        <b/>
        <sz val="11"/>
        <color theme="1"/>
        <rFont val="Arial"/>
        <family val="2"/>
      </rPr>
      <t>subject to exemptions</t>
    </r>
    <r>
      <rPr>
        <sz val="11"/>
        <color theme="1"/>
        <rFont val="Arial"/>
        <family val="2"/>
      </rPr>
      <t xml:space="preserve"> as detailed below. SIT will calculate and confirm to Department/Colleges the ISC fee to be charged prior to issuing the Certificate of Sponsorship to the applicant.</t>
    </r>
  </si>
  <si>
    <t>Partner and children</t>
  </si>
  <si>
    <t>Does applicant have children who need Dependant visas?</t>
  </si>
  <si>
    <t>Dependants discussed?</t>
  </si>
  <si>
    <t>children</t>
  </si>
  <si>
    <t>No. of dependants</t>
  </si>
  <si>
    <r>
      <t xml:space="preserve">Partner and children </t>
    </r>
    <r>
      <rPr>
        <i/>
        <sz val="11"/>
        <color theme="1"/>
        <rFont val="Arial"/>
        <family val="2"/>
      </rPr>
      <t>(SIT is happy to help with their Dependant visa applications too)</t>
    </r>
  </si>
  <si>
    <t>Does applicant have a partner who needs Dependant visa?</t>
  </si>
  <si>
    <t>Travel overseas for domestic and leisure purposes does not require a multiple entry visa, but SIT reccommends that multiple entry is always selected to cover any potential travel for work purposes.</t>
  </si>
  <si>
    <t>ATAS - MANDATORY VISA REQUIREMENT</t>
  </si>
  <si>
    <r>
      <t>Research</t>
    </r>
    <r>
      <rPr>
        <sz val="11"/>
        <color theme="1"/>
        <rFont val="Arial"/>
        <family val="2"/>
      </rPr>
      <t xml:space="preserve"> (SOC code 2119 or 2162) and </t>
    </r>
    <r>
      <rPr>
        <b/>
        <sz val="11"/>
        <color theme="1"/>
        <rFont val="Arial"/>
        <family val="2"/>
      </rPr>
      <t>Lecturer</t>
    </r>
    <r>
      <rPr>
        <sz val="11"/>
        <color theme="1"/>
        <rFont val="Arial"/>
        <family val="2"/>
      </rPr>
      <t xml:space="preserve"> (SOC code 2311) roles</t>
    </r>
    <r>
      <rPr>
        <b/>
        <sz val="11"/>
        <color theme="1"/>
        <rFont val="Arial"/>
        <family val="2"/>
      </rPr>
      <t xml:space="preserve">. </t>
    </r>
    <r>
      <rPr>
        <b/>
        <i/>
        <sz val="11"/>
        <color theme="1"/>
        <rFont val="Arial"/>
        <family val="2"/>
      </rPr>
      <t>(tick if applicable)</t>
    </r>
  </si>
  <si>
    <r>
      <t>CoS start date</t>
    </r>
    <r>
      <rPr>
        <i/>
        <sz val="11"/>
        <color theme="1"/>
        <rFont val="Arial"/>
        <family val="2"/>
      </rPr>
      <t xml:space="preserve"> (start date of role) - DD/MM/YYYY</t>
    </r>
  </si>
  <si>
    <r>
      <t xml:space="preserve">CoS end date </t>
    </r>
    <r>
      <rPr>
        <i/>
        <sz val="11"/>
        <color theme="1"/>
        <rFont val="Arial"/>
        <family val="2"/>
      </rPr>
      <t>(end date of role) - DD/MM/YYYY</t>
    </r>
  </si>
  <si>
    <r>
      <rPr>
        <b/>
        <sz val="11"/>
        <color theme="1"/>
        <rFont val="Arial"/>
        <family val="2"/>
      </rPr>
      <t>CoS start and end dates selected should reflect the required start and end dates of the role</t>
    </r>
    <r>
      <rPr>
        <sz val="11"/>
        <color theme="1"/>
        <rFont val="Arial"/>
        <family val="2"/>
      </rPr>
      <t xml:space="preserve">. CoS dates cannot be longer than known/ funded length of the role, but they can be set shorter to help reduce visa and NHS fees. You should ask the applicant about any </t>
    </r>
    <r>
      <rPr>
        <b/>
        <sz val="11"/>
        <color theme="1"/>
        <rFont val="Arial"/>
        <family val="2"/>
      </rPr>
      <t>notice period</t>
    </r>
    <r>
      <rPr>
        <sz val="11"/>
        <color theme="1"/>
        <rFont val="Arial"/>
        <family val="2"/>
      </rPr>
      <t xml:space="preserve"> for their current role to take this into account when setting the CoS/ role start date to avoid any delay in starting the new role here.</t>
    </r>
  </si>
  <si>
    <r>
      <rPr>
        <b/>
        <sz val="11"/>
        <color theme="1"/>
        <rFont val="Arial"/>
        <family val="2"/>
      </rPr>
      <t>Immigration Health Surcharge (IHS) / NHS fees are based on the visa length.</t>
    </r>
    <r>
      <rPr>
        <sz val="11"/>
        <color theme="1"/>
        <rFont val="Arial"/>
        <family val="2"/>
      </rPr>
      <t xml:space="preserve"> NHS fees are counted in six month blocks with another six months/ half year fee being charged if the visa length is even slightly over mutliples of six months. Listing an earlier CoS end date can help ensure the visa length does not go over a multiple of six months to avoid higher NHS fees than necessary.</t>
    </r>
  </si>
  <si>
    <t>expected visa length</t>
  </si>
  <si>
    <t>CoS/ role start date</t>
  </si>
  <si>
    <t>CoS/ role end date</t>
  </si>
  <si>
    <r>
      <t xml:space="preserve">How many weeks before the role start date does the applicant intend to arrive?       </t>
    </r>
    <r>
      <rPr>
        <b/>
        <i/>
        <sz val="11"/>
        <rFont val="Arial"/>
        <family val="2"/>
      </rPr>
      <t>Visa holders must not travel to the UK before their visa start date !</t>
    </r>
  </si>
  <si>
    <r>
      <rPr>
        <b/>
        <u/>
        <sz val="10"/>
        <color rgb="FF0070C0"/>
        <rFont val="Arial"/>
        <family val="2"/>
      </rPr>
      <t>estimated</t>
    </r>
    <r>
      <rPr>
        <b/>
        <sz val="10"/>
        <color rgb="FF0070C0"/>
        <rFont val="Arial"/>
        <family val="2"/>
      </rPr>
      <t xml:space="preserve"> NHS Surcharge is</t>
    </r>
  </si>
  <si>
    <r>
      <rPr>
        <b/>
        <sz val="11"/>
        <rFont val="Arial"/>
        <family val="2"/>
      </rPr>
      <t>The visa will be longer than the CoS dates</t>
    </r>
    <r>
      <rPr>
        <sz val="11"/>
        <rFont val="Arial"/>
        <family val="2"/>
      </rPr>
      <t>. If applying outside the UK the visa application will ask the applicant when they want to arrive in the UK (normally a few weeks before the CoS start date/ start date of the role). The visa start date should normally reflect or be close to the arrival date the applicant listed in their visa application. The visa expiry date is normally 14 days after the CoS end date.</t>
    </r>
  </si>
  <si>
    <t>This is a mandatory requirement. SIT is happy to help you and the applicant through the process.</t>
  </si>
  <si>
    <t>angelina.escott@admin.ox.ac.uk</t>
  </si>
  <si>
    <r>
      <rPr>
        <b/>
        <sz val="11"/>
        <color theme="1"/>
        <rFont val="Arial"/>
        <family val="2"/>
      </rPr>
      <t xml:space="preserve">Does the applicant have a </t>
    </r>
    <r>
      <rPr>
        <b/>
        <u/>
        <sz val="11"/>
        <color theme="1"/>
        <rFont val="Arial"/>
        <family val="2"/>
      </rPr>
      <t>partner</t>
    </r>
    <r>
      <rPr>
        <b/>
        <sz val="11"/>
        <color theme="1"/>
        <rFont val="Arial"/>
        <family val="2"/>
      </rPr>
      <t xml:space="preserve"> in the UK, or coming with them, or to join them now or later, who needs a Dependant partner visa?</t>
    </r>
    <r>
      <rPr>
        <sz val="11"/>
        <color theme="1"/>
        <rFont val="Arial"/>
        <family val="2"/>
      </rPr>
      <t xml:space="preserve"> If yes, they will need to submit their marriage certificate, civil partnership certificate, or documents showing that they have been living together or in a relationship for at least two years, when they apply for a Dependant partner visa.</t>
    </r>
  </si>
  <si>
    <r>
      <rPr>
        <b/>
        <sz val="11"/>
        <color theme="1"/>
        <rFont val="Arial"/>
        <family val="2"/>
      </rPr>
      <t xml:space="preserve">Does the applicant have </t>
    </r>
    <r>
      <rPr>
        <b/>
        <u/>
        <sz val="11"/>
        <color theme="1"/>
        <rFont val="Arial"/>
        <family val="2"/>
      </rPr>
      <t>children</t>
    </r>
    <r>
      <rPr>
        <b/>
        <sz val="11"/>
        <color theme="1"/>
        <rFont val="Arial"/>
        <family val="2"/>
      </rPr>
      <t xml:space="preserve"> (under 18 years old) in the UK, or coming with them, or to join them now or later, who need Dependant child visas? </t>
    </r>
    <r>
      <rPr>
        <b/>
        <u/>
        <sz val="11"/>
        <color theme="1"/>
        <rFont val="Arial"/>
        <family val="2"/>
      </rPr>
      <t>If yes, how many?</t>
    </r>
    <r>
      <rPr>
        <sz val="11"/>
        <color theme="1"/>
        <rFont val="Arial"/>
        <family val="2"/>
      </rPr>
      <t xml:space="preserve"> Children are only granted visas if both parents have or applying for visas/ status in the UK, or if the parent they are dependant on is their sole surviving parent, or has sole custody/ responsibility for them.</t>
    </r>
  </si>
  <si>
    <t>https://qls.ecctis.com/</t>
  </si>
  <si>
    <t>Angelina Escott</t>
  </si>
  <si>
    <t>w.e.f. 16/12/2025</t>
  </si>
  <si>
    <t>Version 1.15</t>
  </si>
  <si>
    <t>(Medical Sciences/ Humanities / GLAM / UAS / Continuing Education)</t>
  </si>
  <si>
    <t>(MPLS / Social Sciences / Colleges)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</si>
</sst>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409]d/mmm/yyyy;@"/>
    <numFmt numFmtId="165" formatCode="dd/mmm/yyyy"/>
    <numFmt numFmtId="166" formatCode="[$£-809]#,##0"/>
    <numFmt numFmtId="167" formatCode="dd/mm/yyyy;@"/>
    <numFmt numFmtId="168" formatCode="[$£-809]#,##0.00"/>
    <numFmt numFmtId="169" formatCode="dd/mm/yy;@"/>
  </numFmts>
  <fonts count="122" x14ac:knownFonts="1">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12"/>
      <name val="Arial"/>
      <family val="2"/>
    </font>
    <font>
      <b/>
      <sz val="10"/>
      <name val="Arial"/>
      <family val="2"/>
    </font>
    <font>
      <sz val="11"/>
      <color theme="1"/>
      <name val="Arial"/>
      <family val="2"/>
    </font>
    <font>
      <i/>
      <sz val="11"/>
      <color rgb="FF7030A0"/>
      <name val="Calibri"/>
      <family val="2"/>
      <scheme val="minor"/>
    </font>
    <font>
      <b/>
      <i/>
      <sz val="11"/>
      <color rgb="FF7030A0"/>
      <name val="Calibri"/>
      <family val="2"/>
      <scheme val="minor"/>
    </font>
    <font>
      <b/>
      <sz val="11"/>
      <color rgb="FF7030A0"/>
      <name val="Calibri"/>
      <family val="2"/>
      <scheme val="minor"/>
    </font>
    <font>
      <sz val="11"/>
      <name val="Calibri"/>
      <family val="2"/>
      <scheme val="minor"/>
    </font>
    <font>
      <b/>
      <sz val="11"/>
      <name val="Calibri"/>
      <family val="2"/>
      <scheme val="minor"/>
    </font>
    <font>
      <sz val="11"/>
      <name val="Arial"/>
      <family val="2"/>
    </font>
    <font>
      <b/>
      <sz val="11"/>
      <color rgb="FFFF0000"/>
      <name val="Calibri"/>
      <family val="2"/>
      <scheme val="minor"/>
    </font>
    <font>
      <b/>
      <sz val="12"/>
      <color theme="1"/>
      <name val="Arial"/>
      <family val="2"/>
    </font>
    <font>
      <b/>
      <u/>
      <sz val="12"/>
      <color theme="1"/>
      <name val="Arial"/>
      <family val="2"/>
    </font>
    <font>
      <i/>
      <sz val="11"/>
      <color theme="1"/>
      <name val="Arial"/>
      <family val="2"/>
    </font>
    <font>
      <b/>
      <sz val="12"/>
      <color rgb="FF365F91"/>
      <name val="Arial"/>
      <family val="2"/>
    </font>
    <font>
      <u/>
      <sz val="11"/>
      <color theme="10"/>
      <name val="Calibri"/>
      <family val="2"/>
      <scheme val="minor"/>
    </font>
    <font>
      <sz val="10"/>
      <color theme="1"/>
      <name val="Arial"/>
      <family val="2"/>
    </font>
    <font>
      <b/>
      <sz val="11"/>
      <color theme="1"/>
      <name val="Arial"/>
      <family val="2"/>
    </font>
    <font>
      <sz val="8"/>
      <color rgb="FF000000"/>
      <name val="Tahoma"/>
      <family val="2"/>
    </font>
    <font>
      <sz val="14"/>
      <color theme="1"/>
      <name val="Calibri"/>
      <family val="2"/>
      <scheme val="minor"/>
    </font>
    <font>
      <b/>
      <u/>
      <sz val="11"/>
      <color theme="1"/>
      <name val="Arial"/>
      <family val="2"/>
    </font>
    <font>
      <b/>
      <i/>
      <sz val="11"/>
      <color theme="1"/>
      <name val="Arial"/>
      <family val="2"/>
    </font>
    <font>
      <u/>
      <sz val="11"/>
      <color theme="1"/>
      <name val="Calibri"/>
      <family val="2"/>
      <scheme val="minor"/>
    </font>
    <font>
      <i/>
      <sz val="11"/>
      <color theme="1"/>
      <name val="Calibri"/>
      <family val="2"/>
      <scheme val="minor"/>
    </font>
    <font>
      <i/>
      <sz val="10"/>
      <color theme="1"/>
      <name val="Arial"/>
      <family val="2"/>
    </font>
    <font>
      <b/>
      <i/>
      <sz val="11"/>
      <color theme="1"/>
      <name val="Calibri"/>
      <family val="2"/>
      <scheme val="minor"/>
    </font>
    <font>
      <i/>
      <u/>
      <sz val="10"/>
      <color theme="1"/>
      <name val="Arial"/>
      <family val="2"/>
    </font>
    <font>
      <sz val="11"/>
      <color rgb="FF7030A0"/>
      <name val="Arial"/>
      <family val="2"/>
    </font>
    <font>
      <b/>
      <sz val="9"/>
      <color indexed="81"/>
      <name val="Tahoma"/>
      <family val="2"/>
    </font>
    <font>
      <b/>
      <sz val="11"/>
      <color rgb="FFFF0000"/>
      <name val="Arial"/>
      <family val="2"/>
    </font>
    <font>
      <sz val="11"/>
      <color rgb="FF7030A0"/>
      <name val="Calibri"/>
      <family val="2"/>
      <scheme val="minor"/>
    </font>
    <font>
      <sz val="11"/>
      <color rgb="FFFF0000"/>
      <name val="Arial"/>
      <family val="2"/>
    </font>
    <font>
      <b/>
      <u/>
      <sz val="12"/>
      <color theme="1"/>
      <name val="Calibri"/>
      <family val="2"/>
      <scheme val="minor"/>
    </font>
    <font>
      <sz val="12"/>
      <color theme="1"/>
      <name val="Times New Roman"/>
      <family val="1"/>
    </font>
    <font>
      <i/>
      <sz val="12"/>
      <color theme="1"/>
      <name val="Calibri"/>
      <family val="2"/>
      <scheme val="minor"/>
    </font>
    <font>
      <b/>
      <i/>
      <sz val="12"/>
      <color theme="1"/>
      <name val="Calibri"/>
      <family val="2"/>
      <scheme val="minor"/>
    </font>
    <font>
      <i/>
      <u/>
      <sz val="12"/>
      <color theme="1"/>
      <name val="Calibri"/>
      <family val="2"/>
      <scheme val="minor"/>
    </font>
    <font>
      <b/>
      <sz val="11"/>
      <name val="Arial"/>
      <family val="2"/>
    </font>
    <font>
      <sz val="11"/>
      <color rgb="FF0070C0"/>
      <name val="Arial"/>
      <family val="2"/>
    </font>
    <font>
      <b/>
      <sz val="11"/>
      <color rgb="FF0070C0"/>
      <name val="Arial"/>
      <family val="2"/>
    </font>
    <font>
      <b/>
      <i/>
      <sz val="10"/>
      <color theme="1"/>
      <name val="Arial"/>
      <family val="2"/>
    </font>
    <font>
      <i/>
      <sz val="10"/>
      <color rgb="FF0070C0"/>
      <name val="Arial"/>
      <family val="2"/>
    </font>
    <font>
      <i/>
      <sz val="11"/>
      <color theme="0" tint="-0.499984740745262"/>
      <name val="Arial"/>
      <family val="2"/>
    </font>
    <font>
      <u/>
      <sz val="11"/>
      <color theme="1"/>
      <name val="Arial"/>
      <family val="2"/>
    </font>
    <font>
      <i/>
      <sz val="11"/>
      <color theme="0" tint="-0.499984740745262"/>
      <name val="Calibri"/>
      <family val="2"/>
      <scheme val="minor"/>
    </font>
    <font>
      <sz val="10"/>
      <color rgb="FF7030A0"/>
      <name val="Arial"/>
      <family val="2"/>
    </font>
    <font>
      <i/>
      <sz val="10"/>
      <color rgb="FF7030A0"/>
      <name val="Arial"/>
      <family val="2"/>
    </font>
    <font>
      <i/>
      <sz val="11"/>
      <color rgb="FF7030A0"/>
      <name val="Arial"/>
      <family val="2"/>
    </font>
    <font>
      <b/>
      <i/>
      <sz val="11"/>
      <color rgb="FF7030A0"/>
      <name val="Arial"/>
      <family val="2"/>
    </font>
    <font>
      <sz val="9"/>
      <color rgb="FF7030A0"/>
      <name val="Arial"/>
      <family val="2"/>
    </font>
    <font>
      <sz val="9"/>
      <color theme="1"/>
      <name val="Arial"/>
      <family val="2"/>
    </font>
    <font>
      <b/>
      <i/>
      <sz val="11"/>
      <color theme="0" tint="-0.499984740745262"/>
      <name val="Calibri"/>
      <family val="2"/>
      <scheme val="minor"/>
    </font>
    <font>
      <i/>
      <sz val="11"/>
      <name val="Calibri"/>
      <family val="2"/>
      <scheme val="minor"/>
    </font>
    <font>
      <sz val="11"/>
      <color rgb="FF0070C0"/>
      <name val="Calibri"/>
      <family val="2"/>
      <scheme val="minor"/>
    </font>
    <font>
      <sz val="11"/>
      <color theme="0" tint="-0.499984740745262"/>
      <name val="Calibri"/>
      <family val="2"/>
      <scheme val="minor"/>
    </font>
    <font>
      <sz val="9"/>
      <color rgb="FFFF0000"/>
      <name val="Arial"/>
      <family val="2"/>
    </font>
    <font>
      <i/>
      <sz val="11"/>
      <name val="Arial"/>
      <family val="2"/>
    </font>
    <font>
      <b/>
      <strike/>
      <sz val="11"/>
      <color rgb="FFFF0000"/>
      <name val="Arial"/>
      <family val="2"/>
    </font>
    <font>
      <strike/>
      <sz val="11"/>
      <color rgb="FFFF0000"/>
      <name val="Calibri"/>
      <family val="2"/>
      <scheme val="minor"/>
    </font>
    <font>
      <sz val="14"/>
      <color rgb="FFFF0000"/>
      <name val="Calibri"/>
      <family val="2"/>
      <scheme val="minor"/>
    </font>
    <font>
      <strike/>
      <sz val="14"/>
      <color rgb="FFFF0000"/>
      <name val="Calibri"/>
      <family val="2"/>
      <scheme val="minor"/>
    </font>
    <font>
      <strike/>
      <sz val="11"/>
      <color theme="1"/>
      <name val="Calibri"/>
      <family val="2"/>
      <scheme val="minor"/>
    </font>
    <font>
      <i/>
      <u/>
      <sz val="11"/>
      <name val="Arial"/>
      <family val="2"/>
    </font>
    <font>
      <i/>
      <sz val="10"/>
      <name val="Arial"/>
      <family val="2"/>
    </font>
    <font>
      <sz val="8"/>
      <color rgb="FF000000"/>
      <name val="Segoe UI"/>
      <family val="2"/>
    </font>
    <font>
      <b/>
      <i/>
      <u/>
      <sz val="12"/>
      <name val="Calibri"/>
      <family val="2"/>
      <scheme val="minor"/>
    </font>
    <font>
      <b/>
      <u/>
      <sz val="11"/>
      <name val="Arial"/>
      <family val="2"/>
    </font>
    <font>
      <b/>
      <i/>
      <sz val="11"/>
      <name val="Arial"/>
      <family val="2"/>
    </font>
    <font>
      <sz val="9"/>
      <name val="Arial"/>
      <family val="2"/>
    </font>
    <font>
      <i/>
      <sz val="11"/>
      <color rgb="FF0070C0"/>
      <name val="Calibri"/>
      <family val="2"/>
      <scheme val="minor"/>
    </font>
    <font>
      <sz val="11"/>
      <color theme="0" tint="-0.499984740745262"/>
      <name val="Arial"/>
      <family val="2"/>
    </font>
    <font>
      <u/>
      <sz val="11"/>
      <color theme="0" tint="-0.499984740745262"/>
      <name val="Calibri"/>
      <family val="2"/>
      <scheme val="minor"/>
    </font>
    <font>
      <i/>
      <sz val="11"/>
      <color rgb="FFFF0000"/>
      <name val="Arial"/>
      <family val="2"/>
    </font>
    <font>
      <u/>
      <sz val="11"/>
      <color theme="10"/>
      <name val="Arial"/>
      <family val="2"/>
    </font>
    <font>
      <u/>
      <sz val="12"/>
      <color theme="10"/>
      <name val="Arial"/>
      <family val="2"/>
    </font>
    <font>
      <u/>
      <sz val="11"/>
      <name val="Arial"/>
      <family val="2"/>
    </font>
    <font>
      <i/>
      <sz val="10"/>
      <color rgb="FFFF0000"/>
      <name val="Arial"/>
      <family val="2"/>
    </font>
    <font>
      <sz val="8"/>
      <color theme="1"/>
      <name val="Arial"/>
      <family val="2"/>
    </font>
    <font>
      <u/>
      <sz val="18"/>
      <color theme="10"/>
      <name val="Arial"/>
      <family val="2"/>
    </font>
    <font>
      <sz val="12"/>
      <color rgb="FF7030A0"/>
      <name val="Arial"/>
      <family val="2"/>
    </font>
    <font>
      <b/>
      <u/>
      <sz val="12"/>
      <color rgb="FF7030A0"/>
      <name val="Arial"/>
      <family val="2"/>
    </font>
    <font>
      <b/>
      <u/>
      <sz val="12"/>
      <name val="Arial"/>
      <family val="2"/>
    </font>
    <font>
      <b/>
      <i/>
      <u/>
      <sz val="10"/>
      <color rgb="FF7030A0"/>
      <name val="Arial"/>
      <family val="2"/>
    </font>
    <font>
      <b/>
      <i/>
      <sz val="10"/>
      <color rgb="FF7030A0"/>
      <name val="Arial"/>
      <family val="2"/>
    </font>
    <font>
      <b/>
      <sz val="11"/>
      <color rgb="FF00B050"/>
      <name val="Calibri"/>
      <family val="2"/>
      <scheme val="minor"/>
    </font>
    <font>
      <b/>
      <sz val="12"/>
      <color rgb="FF00B050"/>
      <name val="Calibri"/>
      <family val="2"/>
      <scheme val="minor"/>
    </font>
    <font>
      <b/>
      <u/>
      <sz val="11"/>
      <color rgb="FFFF0000"/>
      <name val="Calibri"/>
      <family val="2"/>
      <scheme val="minor"/>
    </font>
    <font>
      <b/>
      <u/>
      <sz val="11"/>
      <color rgb="FF7030A0"/>
      <name val="Calibri"/>
      <family val="2"/>
      <scheme val="minor"/>
    </font>
    <font>
      <i/>
      <sz val="11"/>
      <color rgb="FFFF0000"/>
      <name val="Calibri"/>
      <family val="2"/>
      <scheme val="minor"/>
    </font>
    <font>
      <sz val="8"/>
      <name val="Calibri"/>
      <family val="2"/>
      <scheme val="minor"/>
    </font>
    <font>
      <u/>
      <sz val="8"/>
      <name val="Calibri"/>
      <family val="2"/>
      <scheme val="minor"/>
    </font>
    <font>
      <b/>
      <sz val="8"/>
      <name val="Calibri"/>
      <family val="2"/>
      <scheme val="minor"/>
    </font>
    <font>
      <u/>
      <sz val="10"/>
      <color theme="10"/>
      <name val="Calibri"/>
      <family val="2"/>
      <scheme val="minor"/>
    </font>
    <font>
      <b/>
      <u/>
      <sz val="11"/>
      <color theme="10"/>
      <name val="Calibri"/>
      <family val="2"/>
      <scheme val="minor"/>
    </font>
    <font>
      <b/>
      <i/>
      <sz val="11"/>
      <color rgb="FFFF0000"/>
      <name val="Arial"/>
      <family val="2"/>
    </font>
    <font>
      <b/>
      <u/>
      <sz val="11"/>
      <color theme="10"/>
      <name val="Arial"/>
      <family val="2"/>
    </font>
    <font>
      <b/>
      <u/>
      <sz val="12"/>
      <color theme="10"/>
      <name val="Arial"/>
      <family val="2"/>
    </font>
    <font>
      <sz val="10.5"/>
      <name val="Arial"/>
      <family val="2"/>
    </font>
    <font>
      <u/>
      <sz val="14"/>
      <color theme="1"/>
      <name val="Arial"/>
      <family val="2"/>
    </font>
    <font>
      <b/>
      <sz val="14"/>
      <color theme="1"/>
      <name val="Arial"/>
      <family val="2"/>
    </font>
    <font>
      <u/>
      <sz val="14"/>
      <color theme="10"/>
      <name val="Arial"/>
      <family val="2"/>
    </font>
    <font>
      <i/>
      <u/>
      <sz val="11"/>
      <color theme="1"/>
      <name val="Arial"/>
      <family val="2"/>
    </font>
    <font>
      <b/>
      <u/>
      <sz val="14"/>
      <color theme="10"/>
      <name val="Arial"/>
      <family val="2"/>
    </font>
    <font>
      <u/>
      <sz val="11.5"/>
      <color theme="10"/>
      <name val="Arial"/>
      <family val="2"/>
    </font>
    <font>
      <u/>
      <sz val="12"/>
      <color theme="10"/>
      <name val="Calibri"/>
      <family val="2"/>
      <scheme val="minor"/>
    </font>
    <font>
      <i/>
      <sz val="9"/>
      <color theme="1"/>
      <name val="Arial"/>
      <family val="2"/>
    </font>
    <font>
      <b/>
      <sz val="10"/>
      <color rgb="FF0070C0"/>
      <name val="Arial"/>
      <family val="2"/>
    </font>
    <font>
      <b/>
      <sz val="10"/>
      <color theme="1"/>
      <name val="Arial"/>
      <family val="2"/>
    </font>
    <font>
      <b/>
      <u/>
      <sz val="10"/>
      <color rgb="FF7030A0"/>
      <name val="Arial"/>
      <family val="2"/>
    </font>
    <font>
      <sz val="11"/>
      <color theme="1" tint="0.34998626667073579"/>
      <name val="Calibri"/>
      <family val="2"/>
      <scheme val="minor"/>
    </font>
    <font>
      <sz val="14"/>
      <color theme="1" tint="0.34998626667073579"/>
      <name val="Calibri"/>
      <family val="2"/>
      <scheme val="minor"/>
    </font>
    <font>
      <i/>
      <sz val="11"/>
      <color theme="1" tint="0.34998626667073579"/>
      <name val="Calibri"/>
      <family val="2"/>
      <scheme val="minor"/>
    </font>
    <font>
      <i/>
      <u/>
      <sz val="10"/>
      <color theme="1"/>
      <name val="Calibri"/>
      <family val="2"/>
      <scheme val="minor"/>
    </font>
    <font>
      <b/>
      <sz val="10"/>
      <color rgb="FFFF0000"/>
      <name val="Arial"/>
      <family val="2"/>
    </font>
    <font>
      <u/>
      <sz val="14"/>
      <color theme="10"/>
      <name val="Calibri"/>
      <family val="2"/>
      <scheme val="minor"/>
    </font>
    <font>
      <b/>
      <u/>
      <sz val="11"/>
      <color theme="1"/>
      <name val="Calibri"/>
      <family val="2"/>
      <scheme val="minor"/>
    </font>
    <font>
      <sz val="10"/>
      <color rgb="FFFF0000"/>
      <name val="Calibri"/>
      <family val="2"/>
      <scheme val="minor"/>
    </font>
    <font>
      <b/>
      <u/>
      <sz val="10"/>
      <color rgb="FF0070C0"/>
      <name val="Arial"/>
      <family val="2"/>
    </font>
    <font>
      <sz val="9"/>
      <color indexed="81"/>
      <name val="Tahoma"/>
      <family val="2"/>
    </font>
  </fonts>
  <fills count="20">
    <fill>
      <patternFill patternType="none"/>
    </fill>
    <fill>
      <patternFill patternType="gray125"/>
    </fill>
    <fill>
      <patternFill patternType="solid">
        <fgColor indexed="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8"/>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indexed="64"/>
      </right>
      <top style="medium">
        <color auto="1"/>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style="medium">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auto="1"/>
      </left>
      <right style="medium">
        <color auto="1"/>
      </right>
      <top style="thin">
        <color auto="1"/>
      </top>
      <bottom/>
      <diagonal/>
    </border>
    <border>
      <left style="medium">
        <color rgb="FF7030A0"/>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style="medium">
        <color rgb="FF7030A0"/>
      </right>
      <top style="medium">
        <color rgb="FF7030A0"/>
      </top>
      <bottom style="medium">
        <color rgb="FF7030A0"/>
      </bottom>
      <diagonal/>
    </border>
    <border>
      <left style="thin">
        <color indexed="64"/>
      </left>
      <right style="thick">
        <color indexed="64"/>
      </right>
      <top style="thin">
        <color indexed="64"/>
      </top>
      <bottom style="thin">
        <color auto="1"/>
      </bottom>
      <diagonal/>
    </border>
    <border>
      <left style="thick">
        <color indexed="64"/>
      </left>
      <right style="thick">
        <color indexed="64"/>
      </right>
      <top style="thin">
        <color indexed="64"/>
      </top>
      <bottom style="thin">
        <color auto="1"/>
      </bottom>
      <diagonal/>
    </border>
    <border>
      <left style="thick">
        <color indexed="64"/>
      </left>
      <right style="thin">
        <color auto="1"/>
      </right>
      <top style="thin">
        <color indexed="64"/>
      </top>
      <bottom style="thin">
        <color auto="1"/>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diagonal/>
    </border>
    <border>
      <left/>
      <right style="medium">
        <color rgb="FF7030A0"/>
      </right>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right/>
      <top style="medium">
        <color rgb="FF7030A0"/>
      </top>
      <bottom style="medium">
        <color rgb="FF7030A0"/>
      </bottom>
      <diagonal/>
    </border>
    <border>
      <left style="thin">
        <color auto="1"/>
      </left>
      <right style="thin">
        <color auto="1"/>
      </right>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diagonal/>
    </border>
    <border>
      <left/>
      <right style="medium">
        <color theme="0" tint="-0.499984740745262"/>
      </right>
      <top style="medium">
        <color theme="0" tint="-0.499984740745262"/>
      </top>
      <bottom/>
      <diagonal/>
    </border>
    <border>
      <left/>
      <right/>
      <top style="medium">
        <color theme="0" tint="-0.499984740745262"/>
      </top>
      <bottom style="medium">
        <color theme="0" tint="-0.499984740745262"/>
      </bottom>
      <diagonal/>
    </border>
    <border>
      <left style="thin">
        <color rgb="FF7030A0"/>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right style="thin">
        <color theme="0" tint="-0.34998626667073579"/>
      </right>
      <top/>
      <bottom/>
      <diagonal/>
    </border>
    <border>
      <left/>
      <right/>
      <top style="thick">
        <color auto="1"/>
      </top>
      <bottom/>
      <diagonal/>
    </border>
  </borders>
  <cellStyleXfs count="5">
    <xf numFmtId="0" fontId="0" fillId="0" borderId="0"/>
    <xf numFmtId="0" fontId="3" fillId="0" borderId="0"/>
    <xf numFmtId="0" fontId="6" fillId="0" borderId="0"/>
    <xf numFmtId="0" fontId="3" fillId="0" borderId="0"/>
    <xf numFmtId="0" fontId="18" fillId="0" borderId="0" applyNumberFormat="0" applyFill="0" applyBorder="0" applyAlignment="0" applyProtection="0"/>
  </cellStyleXfs>
  <cellXfs count="1061">
    <xf numFmtId="0" fontId="0" fillId="0" borderId="0" xfId="0"/>
    <xf numFmtId="0" fontId="4" fillId="0" borderId="0" xfId="1" applyFont="1"/>
    <xf numFmtId="0" fontId="3" fillId="0" borderId="0" xfId="1"/>
    <xf numFmtId="0" fontId="5" fillId="2" borderId="1" xfId="1" applyFont="1" applyFill="1" applyBorder="1" applyAlignment="1">
      <alignment vertical="center"/>
    </xf>
    <xf numFmtId="0" fontId="5" fillId="2" borderId="1" xfId="1" applyFont="1" applyFill="1" applyBorder="1" applyAlignment="1">
      <alignment vertical="center" wrapText="1"/>
    </xf>
    <xf numFmtId="0" fontId="3" fillId="0" borderId="1" xfId="1" applyFont="1" applyBorder="1"/>
    <xf numFmtId="0" fontId="3" fillId="0" borderId="0" xfId="1" applyFont="1" applyBorder="1"/>
    <xf numFmtId="0" fontId="3" fillId="0" borderId="0" xfId="1" quotePrefix="1" applyNumberFormat="1" applyFont="1" applyFill="1" applyBorder="1"/>
    <xf numFmtId="0" fontId="3" fillId="0" borderId="0" xfId="1" quotePrefix="1" applyNumberFormat="1" applyFont="1" applyFill="1" applyBorder="1" applyAlignment="1">
      <alignment wrapText="1"/>
    </xf>
    <xf numFmtId="0" fontId="3" fillId="0" borderId="0" xfId="1" applyFont="1" applyFill="1" applyBorder="1"/>
    <xf numFmtId="0" fontId="3" fillId="0" borderId="0" xfId="1" applyFont="1" applyFill="1" applyBorder="1" applyAlignment="1">
      <alignment wrapText="1"/>
    </xf>
    <xf numFmtId="0" fontId="3" fillId="0" borderId="0" xfId="1" applyNumberFormat="1" applyFont="1" applyFill="1" applyBorder="1" applyAlignment="1">
      <alignment wrapText="1"/>
    </xf>
    <xf numFmtId="0" fontId="3" fillId="0" borderId="0" xfId="1" applyNumberFormat="1" applyFont="1" applyFill="1" applyBorder="1"/>
    <xf numFmtId="164" fontId="8" fillId="0" borderId="0" xfId="0" applyNumberFormat="1" applyFont="1" applyAlignment="1">
      <alignment horizontal="left"/>
    </xf>
    <xf numFmtId="0" fontId="9" fillId="0" borderId="0" xfId="0" applyFont="1" applyAlignment="1">
      <alignment horizontal="center"/>
    </xf>
    <xf numFmtId="0" fontId="0" fillId="0" borderId="0" xfId="0" applyFill="1"/>
    <xf numFmtId="0" fontId="10" fillId="0" borderId="0" xfId="0" applyFont="1" applyFill="1"/>
    <xf numFmtId="0" fontId="2" fillId="3" borderId="0" xfId="0" applyFont="1" applyFill="1"/>
    <xf numFmtId="0" fontId="11" fillId="0" borderId="0" xfId="0" applyFont="1" applyFill="1"/>
    <xf numFmtId="0" fontId="6" fillId="4" borderId="0" xfId="0" quotePrefix="1" applyFont="1" applyFill="1" applyBorder="1"/>
    <xf numFmtId="0" fontId="0" fillId="0" borderId="0" xfId="0" applyAlignment="1">
      <alignment horizontal="left" vertical="center" indent="1"/>
    </xf>
    <xf numFmtId="0" fontId="12" fillId="0" borderId="0" xfId="0" quotePrefix="1" applyFont="1" applyFill="1" applyBorder="1"/>
    <xf numFmtId="0" fontId="2" fillId="5" borderId="0" xfId="0" applyFont="1" applyFill="1"/>
    <xf numFmtId="0" fontId="0" fillId="6" borderId="0" xfId="0" applyFill="1"/>
    <xf numFmtId="0" fontId="2" fillId="7" borderId="0" xfId="0" applyFont="1" applyFill="1"/>
    <xf numFmtId="0" fontId="0" fillId="7" borderId="0" xfId="0" applyFill="1"/>
    <xf numFmtId="0" fontId="0" fillId="8" borderId="0" xfId="0" applyFill="1"/>
    <xf numFmtId="0" fontId="2" fillId="0" borderId="0" xfId="0" applyFont="1" applyFill="1"/>
    <xf numFmtId="0" fontId="2" fillId="9" borderId="0" xfId="0" applyFont="1" applyFill="1"/>
    <xf numFmtId="166" fontId="0" fillId="10" borderId="0" xfId="0" applyNumberFormat="1" applyFill="1" applyAlignment="1">
      <alignment horizontal="center"/>
    </xf>
    <xf numFmtId="0" fontId="0" fillId="0" borderId="0" xfId="0" applyAlignment="1">
      <alignment horizontal="center"/>
    </xf>
    <xf numFmtId="0" fontId="0" fillId="11" borderId="0" xfId="0" applyFill="1"/>
    <xf numFmtId="166" fontId="10" fillId="12" borderId="0" xfId="0" applyNumberFormat="1" applyFont="1" applyFill="1" applyAlignment="1">
      <alignment horizontal="center"/>
    </xf>
    <xf numFmtId="0" fontId="0" fillId="13" borderId="0" xfId="0" applyFill="1"/>
    <xf numFmtId="0" fontId="1" fillId="0" borderId="0" xfId="0" applyFont="1"/>
    <xf numFmtId="0" fontId="2" fillId="0" borderId="0" xfId="0" applyFont="1"/>
    <xf numFmtId="0" fontId="0" fillId="0" borderId="0" xfId="0" applyFont="1"/>
    <xf numFmtId="0" fontId="0" fillId="0" borderId="0" xfId="0" applyAlignment="1">
      <alignment wrapText="1"/>
    </xf>
    <xf numFmtId="0" fontId="10" fillId="0" borderId="0" xfId="0" applyFont="1"/>
    <xf numFmtId="0" fontId="13" fillId="0" borderId="0" xfId="0" applyFont="1"/>
    <xf numFmtId="0" fontId="0" fillId="4" borderId="0" xfId="0" applyFill="1"/>
    <xf numFmtId="0" fontId="0" fillId="3" borderId="0" xfId="0" applyFill="1"/>
    <xf numFmtId="0" fontId="0" fillId="3" borderId="9" xfId="0" applyFill="1" applyBorder="1"/>
    <xf numFmtId="0" fontId="6" fillId="15" borderId="0" xfId="0" applyFont="1" applyFill="1" applyBorder="1" applyAlignment="1">
      <alignment vertical="center" wrapText="1"/>
    </xf>
    <xf numFmtId="0" fontId="6" fillId="15" borderId="0" xfId="0" applyFont="1" applyFill="1" applyAlignment="1"/>
    <xf numFmtId="0" fontId="6" fillId="15" borderId="0" xfId="0" applyFont="1" applyFill="1" applyBorder="1"/>
    <xf numFmtId="0" fontId="16" fillId="15" borderId="0" xfId="0" applyFont="1" applyFill="1" applyBorder="1" applyAlignment="1"/>
    <xf numFmtId="167" fontId="16" fillId="15" borderId="0" xfId="0" applyNumberFormat="1" applyFont="1" applyFill="1" applyBorder="1" applyAlignment="1">
      <alignment horizontal="right"/>
    </xf>
    <xf numFmtId="0" fontId="17" fillId="15" borderId="0" xfId="0" applyFont="1" applyFill="1"/>
    <xf numFmtId="0" fontId="16" fillId="15" borderId="0" xfId="0" applyFont="1" applyFill="1" applyBorder="1"/>
    <xf numFmtId="0" fontId="20" fillId="15" borderId="0" xfId="0" applyFont="1" applyFill="1" applyAlignment="1">
      <alignment horizontal="left" vertical="center"/>
    </xf>
    <xf numFmtId="0" fontId="6" fillId="15" borderId="0" xfId="0" applyFont="1" applyFill="1" applyBorder="1" applyAlignment="1">
      <alignment vertical="center"/>
    </xf>
    <xf numFmtId="0" fontId="19" fillId="15" borderId="0" xfId="0" applyFont="1" applyFill="1" applyBorder="1" applyAlignment="1">
      <alignment vertical="center"/>
    </xf>
    <xf numFmtId="0" fontId="13" fillId="4" borderId="0" xfId="0" applyFont="1" applyFill="1"/>
    <xf numFmtId="0" fontId="18" fillId="15" borderId="0" xfId="4" applyFill="1" applyAlignment="1">
      <alignment horizontal="center"/>
    </xf>
    <xf numFmtId="0" fontId="20" fillId="15" borderId="0" xfId="0" applyFont="1" applyFill="1" applyBorder="1" applyAlignment="1">
      <alignment horizontal="left" vertical="center" wrapText="1"/>
    </xf>
    <xf numFmtId="0" fontId="0" fillId="15" borderId="0" xfId="0" applyFill="1"/>
    <xf numFmtId="0" fontId="0" fillId="0" borderId="0" xfId="0" applyAlignment="1">
      <alignment horizontal="left"/>
    </xf>
    <xf numFmtId="0" fontId="22" fillId="15" borderId="0" xfId="0" applyFont="1" applyFill="1" applyBorder="1" applyAlignment="1">
      <alignment horizontal="center" vertical="center"/>
    </xf>
    <xf numFmtId="0" fontId="0" fillId="7" borderId="0" xfId="0" applyFill="1" applyAlignment="1">
      <alignment horizontal="center"/>
    </xf>
    <xf numFmtId="0" fontId="0" fillId="15" borderId="0" xfId="0" applyFill="1" applyAlignment="1"/>
    <xf numFmtId="0" fontId="25" fillId="0" borderId="0" xfId="0" applyFont="1"/>
    <xf numFmtId="165" fontId="0" fillId="0" borderId="0" xfId="0" applyNumberFormat="1" applyFont="1" applyFill="1" applyBorder="1" applyAlignment="1" applyProtection="1">
      <alignment horizontal="left"/>
    </xf>
    <xf numFmtId="0" fontId="14" fillId="15" borderId="0" xfId="0" applyFont="1" applyFill="1" applyBorder="1" applyAlignment="1">
      <alignment horizontal="center" vertical="center" wrapText="1"/>
    </xf>
    <xf numFmtId="0" fontId="0" fillId="0" borderId="0" xfId="0" applyAlignment="1">
      <alignment horizontal="left" vertical="center"/>
    </xf>
    <xf numFmtId="0" fontId="0" fillId="7" borderId="0" xfId="0" applyFill="1" applyAlignment="1">
      <alignment horizontal="left" vertical="center"/>
    </xf>
    <xf numFmtId="0" fontId="2" fillId="11" borderId="0" xfId="0" applyFont="1" applyFill="1"/>
    <xf numFmtId="0" fontId="18" fillId="15" borderId="0" xfId="4" applyFill="1" applyAlignment="1"/>
    <xf numFmtId="0" fontId="0" fillId="15" borderId="0" xfId="0" applyFill="1" applyAlignment="1">
      <alignment wrapText="1"/>
    </xf>
    <xf numFmtId="0" fontId="0" fillId="3" borderId="0" xfId="0" applyFill="1" applyAlignment="1">
      <alignment horizontal="center"/>
    </xf>
    <xf numFmtId="0" fontId="0" fillId="3" borderId="0" xfId="0" applyFill="1" applyBorder="1" applyAlignment="1">
      <alignment vertical="top"/>
    </xf>
    <xf numFmtId="0" fontId="6" fillId="15" borderId="0" xfId="0" applyFont="1" applyFill="1" applyAlignment="1">
      <alignment horizontal="center" wrapText="1"/>
    </xf>
    <xf numFmtId="0" fontId="20" fillId="15" borderId="0" xfId="0" applyFont="1" applyFill="1" applyBorder="1"/>
    <xf numFmtId="0" fontId="6" fillId="15" borderId="17" xfId="0" quotePrefix="1" applyFont="1" applyFill="1" applyBorder="1" applyProtection="1">
      <protection locked="0"/>
    </xf>
    <xf numFmtId="0" fontId="0" fillId="0" borderId="0" xfId="0" applyFill="1" applyBorder="1"/>
    <xf numFmtId="0" fontId="0" fillId="0" borderId="1" xfId="0" applyBorder="1" applyProtection="1">
      <protection locked="0"/>
    </xf>
    <xf numFmtId="165" fontId="0" fillId="0" borderId="0" xfId="0" applyNumberFormat="1" applyAlignment="1">
      <alignment horizontal="left"/>
    </xf>
    <xf numFmtId="165" fontId="0" fillId="0" borderId="0" xfId="0" applyNumberFormat="1" applyAlignment="1" applyProtection="1">
      <alignment horizontal="left"/>
      <protection locked="0"/>
    </xf>
    <xf numFmtId="0" fontId="33" fillId="0" borderId="1" xfId="0" applyFont="1" applyBorder="1"/>
    <xf numFmtId="165" fontId="1" fillId="0" borderId="1" xfId="0" applyNumberFormat="1" applyFont="1" applyFill="1" applyBorder="1" applyAlignment="1">
      <alignment horizontal="left"/>
    </xf>
    <xf numFmtId="165" fontId="0" fillId="0" borderId="0" xfId="0" applyNumberFormat="1" applyAlignment="1" applyProtection="1">
      <alignment horizontal="left"/>
    </xf>
    <xf numFmtId="164" fontId="6" fillId="15" borderId="17" xfId="0" applyNumberFormat="1" applyFont="1" applyFill="1" applyBorder="1" applyAlignment="1" applyProtection="1">
      <protection locked="0"/>
    </xf>
    <xf numFmtId="0" fontId="27" fillId="15" borderId="22" xfId="0" applyFont="1" applyFill="1" applyBorder="1"/>
    <xf numFmtId="164" fontId="6" fillId="15" borderId="0" xfId="0" applyNumberFormat="1" applyFont="1" applyFill="1" applyBorder="1" applyAlignment="1"/>
    <xf numFmtId="0" fontId="32" fillId="15" borderId="0" xfId="0" applyFont="1" applyFill="1" applyBorder="1" applyAlignment="1"/>
    <xf numFmtId="0"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pplyProtection="1">
      <alignment horizontal="left"/>
      <protection locked="0"/>
    </xf>
    <xf numFmtId="0" fontId="20" fillId="15" borderId="0" xfId="0" applyFont="1" applyFill="1" applyBorder="1" applyAlignment="1">
      <alignment vertical="top"/>
    </xf>
    <xf numFmtId="0" fontId="20" fillId="15" borderId="0" xfId="0" applyFont="1" applyFill="1" applyBorder="1" applyAlignment="1">
      <alignment wrapText="1"/>
    </xf>
    <xf numFmtId="0" fontId="30" fillId="15" borderId="0" xfId="0" applyFont="1" applyFill="1" applyBorder="1" applyAlignment="1"/>
    <xf numFmtId="0" fontId="6" fillId="3" borderId="0" xfId="0" applyFont="1" applyFill="1" applyBorder="1" applyProtection="1"/>
    <xf numFmtId="0" fontId="0" fillId="0" borderId="34" xfId="0" applyBorder="1" applyAlignment="1">
      <alignment vertical="center"/>
    </xf>
    <xf numFmtId="0" fontId="28" fillId="0" borderId="0" xfId="0" applyFont="1" applyBorder="1" applyAlignment="1">
      <alignment vertical="center"/>
    </xf>
    <xf numFmtId="0" fontId="0" fillId="0" borderId="0" xfId="0" applyBorder="1" applyAlignment="1">
      <alignment vertical="center"/>
    </xf>
    <xf numFmtId="0" fontId="0" fillId="0" borderId="35" xfId="0" applyBorder="1" applyAlignment="1">
      <alignment vertical="center"/>
    </xf>
    <xf numFmtId="0" fontId="26" fillId="0" borderId="0" xfId="0" applyFont="1" applyBorder="1" applyAlignment="1">
      <alignment vertical="center"/>
    </xf>
    <xf numFmtId="0" fontId="0" fillId="0" borderId="36" xfId="0" applyBorder="1" applyAlignment="1">
      <alignment vertical="center"/>
    </xf>
    <xf numFmtId="0" fontId="0" fillId="3" borderId="0" xfId="0" applyFill="1" applyBorder="1"/>
    <xf numFmtId="165" fontId="33" fillId="0" borderId="1" xfId="0" applyNumberFormat="1" applyFont="1" applyFill="1" applyBorder="1" applyAlignment="1">
      <alignment horizontal="left"/>
    </xf>
    <xf numFmtId="0" fontId="6" fillId="15" borderId="0" xfId="0" applyFont="1" applyFill="1" applyBorder="1" applyAlignment="1"/>
    <xf numFmtId="0" fontId="1" fillId="0" borderId="1" xfId="0" applyFont="1" applyBorder="1"/>
    <xf numFmtId="0" fontId="18" fillId="15" borderId="0" xfId="4" applyFont="1" applyFill="1" applyAlignment="1">
      <alignment horizontal="center"/>
    </xf>
    <xf numFmtId="0" fontId="20" fillId="15" borderId="0" xfId="0" applyFont="1" applyFill="1"/>
    <xf numFmtId="165" fontId="40" fillId="15" borderId="0" xfId="0" applyNumberFormat="1" applyFont="1" applyFill="1" applyBorder="1" applyAlignment="1" applyProtection="1"/>
    <xf numFmtId="0" fontId="30" fillId="15" borderId="0" xfId="0" applyFont="1" applyFill="1" applyBorder="1" applyAlignment="1">
      <alignment vertical="top"/>
    </xf>
    <xf numFmtId="0" fontId="30" fillId="15" borderId="0" xfId="0" applyFont="1" applyFill="1" applyBorder="1" applyAlignment="1">
      <alignment wrapText="1"/>
    </xf>
    <xf numFmtId="0" fontId="41" fillId="15" borderId="0" xfId="0" applyFont="1" applyFill="1" applyBorder="1"/>
    <xf numFmtId="0" fontId="42" fillId="15" borderId="0" xfId="0" applyFont="1" applyFill="1" applyBorder="1" applyAlignment="1">
      <alignment horizontal="right"/>
    </xf>
    <xf numFmtId="0" fontId="41" fillId="15" borderId="1" xfId="0" applyFont="1" applyFill="1" applyBorder="1"/>
    <xf numFmtId="0" fontId="32" fillId="15" borderId="0" xfId="0" applyFont="1" applyFill="1" applyBorder="1"/>
    <xf numFmtId="0" fontId="30" fillId="7" borderId="0" xfId="0" applyFont="1" applyFill="1" applyBorder="1" applyAlignment="1">
      <alignment vertical="top"/>
    </xf>
    <xf numFmtId="0" fontId="30" fillId="7" borderId="0" xfId="0" applyFont="1" applyFill="1" applyBorder="1" applyAlignment="1">
      <alignment wrapText="1"/>
    </xf>
    <xf numFmtId="0" fontId="6" fillId="7" borderId="0" xfId="0" applyFont="1" applyFill="1" applyBorder="1" applyAlignment="1"/>
    <xf numFmtId="0" fontId="6" fillId="7" borderId="0" xfId="0" applyFont="1" applyFill="1" applyBorder="1"/>
    <xf numFmtId="0" fontId="27" fillId="15" borderId="0" xfId="0" applyFont="1" applyFill="1" applyAlignment="1">
      <alignment vertical="center" wrapText="1"/>
    </xf>
    <xf numFmtId="0" fontId="44" fillId="15" borderId="0" xfId="0" applyFont="1" applyFill="1" applyAlignment="1">
      <alignment vertical="center" wrapText="1"/>
    </xf>
    <xf numFmtId="0" fontId="44" fillId="15" borderId="0" xfId="0" applyFont="1" applyFill="1" applyAlignment="1">
      <alignment vertical="center"/>
    </xf>
    <xf numFmtId="0" fontId="27" fillId="15" borderId="0" xfId="0" applyFont="1" applyFill="1" applyAlignment="1">
      <alignment vertical="center"/>
    </xf>
    <xf numFmtId="0" fontId="6" fillId="3" borderId="0" xfId="0" applyFont="1" applyFill="1" applyBorder="1" applyAlignment="1" applyProtection="1"/>
    <xf numFmtId="0" fontId="6" fillId="15" borderId="0" xfId="0" applyFont="1" applyFill="1" applyBorder="1" applyAlignment="1" applyProtection="1">
      <alignment vertical="center"/>
      <protection locked="0"/>
    </xf>
    <xf numFmtId="0" fontId="33" fillId="0" borderId="2" xfId="0" applyFont="1" applyBorder="1"/>
    <xf numFmtId="0" fontId="10" fillId="0" borderId="0" xfId="0" applyFont="1" applyFill="1" applyBorder="1"/>
    <xf numFmtId="0" fontId="0" fillId="0" borderId="0" xfId="0" applyFill="1" applyBorder="1" applyAlignment="1">
      <alignment horizontal="center"/>
    </xf>
    <xf numFmtId="164" fontId="10" fillId="0" borderId="0" xfId="0" applyNumberFormat="1" applyFont="1" applyFill="1" applyBorder="1" applyAlignment="1">
      <alignment horizontal="left"/>
    </xf>
    <xf numFmtId="0" fontId="28" fillId="0" borderId="0" xfId="0" applyFont="1" applyBorder="1" applyAlignment="1">
      <alignment horizontal="center"/>
    </xf>
    <xf numFmtId="0" fontId="28" fillId="0" borderId="0" xfId="0" applyFont="1" applyBorder="1" applyAlignment="1">
      <alignment horizontal="left"/>
    </xf>
    <xf numFmtId="0" fontId="28" fillId="0" borderId="17" xfId="0" applyFont="1" applyBorder="1" applyAlignment="1" applyProtection="1">
      <alignment horizontal="left"/>
      <protection locked="0"/>
    </xf>
    <xf numFmtId="0" fontId="6" fillId="15" borderId="17" xfId="0" applyFont="1" applyFill="1" applyBorder="1" applyProtection="1">
      <protection locked="0"/>
    </xf>
    <xf numFmtId="0" fontId="30" fillId="15" borderId="0" xfId="0" applyFont="1" applyFill="1" applyBorder="1"/>
    <xf numFmtId="0" fontId="0" fillId="0" borderId="38" xfId="0" applyBorder="1" applyProtection="1">
      <protection locked="0"/>
    </xf>
    <xf numFmtId="0" fontId="0" fillId="0" borderId="41" xfId="0" applyBorder="1" applyAlignment="1">
      <alignment vertical="center"/>
    </xf>
    <xf numFmtId="0" fontId="6" fillId="3" borderId="0" xfId="0" applyFont="1" applyFill="1" applyBorder="1" applyAlignment="1" applyProtection="1">
      <alignment vertical="top"/>
    </xf>
    <xf numFmtId="0" fontId="12" fillId="3" borderId="0" xfId="0" applyFont="1" applyFill="1" applyBorder="1" applyAlignment="1" applyProtection="1">
      <alignment vertical="top" wrapText="1"/>
    </xf>
    <xf numFmtId="0" fontId="33" fillId="0" borderId="0" xfId="0" applyFont="1" applyAlignment="1" applyProtection="1">
      <alignment horizontal="right"/>
    </xf>
    <xf numFmtId="0" fontId="9" fillId="0" borderId="0" xfId="0" applyFont="1" applyAlignment="1" applyProtection="1">
      <alignment horizontal="left"/>
    </xf>
    <xf numFmtId="0" fontId="2" fillId="0" borderId="0" xfId="0" applyFont="1" applyBorder="1" applyAlignment="1" applyProtection="1">
      <alignment horizontal="center"/>
    </xf>
    <xf numFmtId="0" fontId="2" fillId="0" borderId="0" xfId="0" applyFont="1" applyBorder="1" applyAlignment="1">
      <alignment horizontal="center"/>
    </xf>
    <xf numFmtId="0" fontId="0" fillId="0" borderId="0" xfId="0" applyProtection="1"/>
    <xf numFmtId="0" fontId="1" fillId="0" borderId="0" xfId="0" applyFont="1" applyAlignment="1" applyProtection="1">
      <alignment horizontal="left"/>
    </xf>
    <xf numFmtId="168" fontId="0" fillId="0" borderId="0" xfId="0" applyNumberFormat="1" applyBorder="1" applyAlignment="1" applyProtection="1">
      <alignment horizontal="center" vertical="center"/>
    </xf>
    <xf numFmtId="0" fontId="0" fillId="3" borderId="1" xfId="0" applyFill="1" applyBorder="1" applyProtection="1">
      <protection locked="0"/>
    </xf>
    <xf numFmtId="0" fontId="9" fillId="0" borderId="0" xfId="0" applyFont="1"/>
    <xf numFmtId="0" fontId="0" fillId="3" borderId="0" xfId="0" applyFill="1" applyBorder="1" applyAlignment="1">
      <alignment vertical="top" wrapText="1"/>
    </xf>
    <xf numFmtId="0" fontId="26" fillId="0" borderId="0" xfId="0" applyFont="1"/>
    <xf numFmtId="0" fontId="0" fillId="0" borderId="0" xfId="0" applyAlignment="1">
      <alignment horizontal="right"/>
    </xf>
    <xf numFmtId="0" fontId="33" fillId="0" borderId="0" xfId="0" applyFont="1" applyFill="1"/>
    <xf numFmtId="0" fontId="20" fillId="15" borderId="0" xfId="0" applyFont="1" applyFill="1" applyAlignment="1">
      <alignment horizontal="left" vertical="center"/>
    </xf>
    <xf numFmtId="0" fontId="22" fillId="15" borderId="0" xfId="0" applyFont="1" applyFill="1" applyBorder="1" applyAlignment="1">
      <alignment horizontal="center" vertical="center"/>
    </xf>
    <xf numFmtId="0" fontId="30" fillId="15" borderId="21" xfId="0" applyFont="1" applyFill="1" applyBorder="1" applyAlignment="1"/>
    <xf numFmtId="0" fontId="6" fillId="15" borderId="0" xfId="0" applyFont="1" applyFill="1" applyBorder="1" applyAlignment="1">
      <alignment horizontal="right"/>
    </xf>
    <xf numFmtId="0" fontId="22" fillId="15" borderId="0" xfId="0" applyFont="1" applyFill="1" applyBorder="1" applyAlignment="1">
      <alignment horizontal="center" vertical="center"/>
    </xf>
    <xf numFmtId="0" fontId="16" fillId="15" borderId="0" xfId="0" applyFont="1" applyFill="1" applyAlignment="1">
      <alignment horizontal="left" vertical="center"/>
    </xf>
    <xf numFmtId="0" fontId="6" fillId="15" borderId="0" xfId="0" applyFont="1" applyFill="1" applyAlignment="1">
      <alignment vertical="top"/>
    </xf>
    <xf numFmtId="0" fontId="16" fillId="15" borderId="0" xfId="0" applyFont="1" applyFill="1" applyAlignment="1">
      <alignment vertical="top"/>
    </xf>
    <xf numFmtId="0" fontId="6" fillId="15" borderId="2" xfId="0" applyFont="1" applyFill="1" applyBorder="1"/>
    <xf numFmtId="0" fontId="22" fillId="15" borderId="38" xfId="0" applyFont="1" applyFill="1" applyBorder="1" applyAlignment="1">
      <alignment horizontal="center" vertical="center"/>
    </xf>
    <xf numFmtId="0" fontId="47" fillId="0" borderId="0" xfId="0" applyFont="1"/>
    <xf numFmtId="169" fontId="47" fillId="0" borderId="0" xfId="0" applyNumberFormat="1" applyFont="1"/>
    <xf numFmtId="0" fontId="45" fillId="3" borderId="0" xfId="0" applyFont="1" applyFill="1"/>
    <xf numFmtId="0" fontId="45" fillId="3" borderId="0" xfId="0" applyFont="1" applyFill="1" applyAlignment="1">
      <alignment horizontal="right"/>
    </xf>
    <xf numFmtId="0" fontId="0" fillId="0" borderId="32" xfId="0" applyBorder="1" applyProtection="1">
      <protection locked="0"/>
    </xf>
    <xf numFmtId="0" fontId="0" fillId="0" borderId="17" xfId="0" applyBorder="1" applyProtection="1">
      <protection locked="0"/>
    </xf>
    <xf numFmtId="0" fontId="50" fillId="15" borderId="0" xfId="0" applyFont="1" applyFill="1" applyAlignment="1">
      <alignment horizontal="left" vertical="top"/>
    </xf>
    <xf numFmtId="0" fontId="50" fillId="15" borderId="0" xfId="0" applyFont="1" applyFill="1" applyAlignment="1">
      <alignment vertical="top"/>
    </xf>
    <xf numFmtId="0" fontId="16" fillId="15" borderId="0" xfId="0" applyFont="1" applyFill="1" applyBorder="1" applyAlignment="1">
      <alignment horizontal="right"/>
    </xf>
    <xf numFmtId="0" fontId="6" fillId="15" borderId="32" xfId="0" applyFont="1" applyFill="1" applyBorder="1"/>
    <xf numFmtId="0" fontId="6" fillId="15" borderId="27" xfId="0" applyFont="1" applyFill="1" applyBorder="1"/>
    <xf numFmtId="166" fontId="6" fillId="15" borderId="1" xfId="0" applyNumberFormat="1" applyFont="1" applyFill="1" applyBorder="1" applyAlignment="1">
      <alignment horizontal="center"/>
    </xf>
    <xf numFmtId="0" fontId="6" fillId="15" borderId="33" xfId="0" applyFont="1" applyFill="1" applyBorder="1"/>
    <xf numFmtId="166" fontId="6" fillId="15" borderId="32" xfId="0" applyNumberFormat="1" applyFont="1" applyFill="1" applyBorder="1" applyAlignment="1">
      <alignment horizontal="center"/>
    </xf>
    <xf numFmtId="0" fontId="20" fillId="15" borderId="0" xfId="0" applyFont="1" applyFill="1" applyAlignment="1">
      <alignment vertical="center"/>
    </xf>
    <xf numFmtId="0" fontId="0" fillId="0" borderId="1" xfId="0" applyFont="1" applyBorder="1" applyProtection="1">
      <protection locked="0"/>
    </xf>
    <xf numFmtId="0" fontId="28" fillId="0" borderId="17" xfId="0" applyFont="1" applyBorder="1" applyProtection="1">
      <protection locked="0"/>
    </xf>
    <xf numFmtId="0" fontId="0" fillId="0" borderId="2" xfId="0" applyFont="1" applyBorder="1" applyProtection="1">
      <protection locked="0"/>
    </xf>
    <xf numFmtId="166" fontId="0" fillId="0" borderId="1" xfId="0" applyNumberFormat="1" applyBorder="1" applyAlignment="1">
      <alignment horizontal="center"/>
    </xf>
    <xf numFmtId="166" fontId="0" fillId="0" borderId="32" xfId="0" applyNumberFormat="1" applyBorder="1" applyAlignment="1">
      <alignment horizontal="center"/>
    </xf>
    <xf numFmtId="166" fontId="2" fillId="0" borderId="17" xfId="0" applyNumberFormat="1" applyFont="1" applyBorder="1" applyAlignment="1">
      <alignment horizontal="center"/>
    </xf>
    <xf numFmtId="0" fontId="0" fillId="0" borderId="2" xfId="0" applyFont="1" applyFill="1" applyBorder="1" applyProtection="1">
      <protection locked="0"/>
    </xf>
    <xf numFmtId="166" fontId="54" fillId="0" borderId="0" xfId="0" applyNumberFormat="1" applyFont="1" applyBorder="1" applyAlignment="1">
      <alignment horizontal="center"/>
    </xf>
    <xf numFmtId="166" fontId="47" fillId="0" borderId="0" xfId="0" applyNumberFormat="1" applyFont="1" applyBorder="1" applyAlignment="1">
      <alignment horizontal="center"/>
    </xf>
    <xf numFmtId="0" fontId="10" fillId="0" borderId="0" xfId="0" applyFont="1" applyAlignment="1">
      <alignment horizontal="left"/>
    </xf>
    <xf numFmtId="0" fontId="26" fillId="0" borderId="0" xfId="0" applyFont="1" applyAlignment="1">
      <alignment horizontal="right"/>
    </xf>
    <xf numFmtId="0" fontId="0" fillId="0" borderId="0" xfId="0" applyFont="1" applyBorder="1"/>
    <xf numFmtId="49" fontId="10" fillId="0" borderId="0" xfId="0" applyNumberFormat="1" applyFont="1" applyAlignment="1">
      <alignment horizontal="left"/>
    </xf>
    <xf numFmtId="166" fontId="6" fillId="15" borderId="1" xfId="0" applyNumberFormat="1" applyFont="1" applyFill="1" applyBorder="1"/>
    <xf numFmtId="0" fontId="20" fillId="15" borderId="0" xfId="0" applyFont="1" applyFill="1" applyBorder="1" applyAlignment="1">
      <alignment horizontal="right"/>
    </xf>
    <xf numFmtId="0" fontId="6" fillId="15" borderId="0" xfId="0" applyFont="1" applyFill="1" applyAlignment="1">
      <alignment vertical="center"/>
    </xf>
    <xf numFmtId="0" fontId="45" fillId="15" borderId="0" xfId="0" applyFont="1" applyFill="1" applyBorder="1" applyAlignment="1">
      <alignment horizontal="center"/>
    </xf>
    <xf numFmtId="0" fontId="45" fillId="15" borderId="0" xfId="0" applyFont="1" applyFill="1" applyBorder="1"/>
    <xf numFmtId="0" fontId="6" fillId="0" borderId="0" xfId="0" applyFont="1" applyFill="1" applyBorder="1"/>
    <xf numFmtId="49" fontId="6" fillId="3" borderId="46" xfId="0" quotePrefix="1" applyNumberFormat="1" applyFont="1" applyFill="1" applyBorder="1" applyAlignment="1">
      <alignment horizontal="center"/>
    </xf>
    <xf numFmtId="49" fontId="6" fillId="3" borderId="47" xfId="0" applyNumberFormat="1" applyFont="1" applyFill="1" applyBorder="1" applyAlignment="1">
      <alignment horizontal="center"/>
    </xf>
    <xf numFmtId="0" fontId="34" fillId="15" borderId="0" xfId="0" applyFont="1" applyFill="1" applyBorder="1" applyAlignment="1">
      <alignment horizontal="left"/>
    </xf>
    <xf numFmtId="0" fontId="34" fillId="15" borderId="0" xfId="0" applyFont="1" applyFill="1" applyBorder="1"/>
    <xf numFmtId="0" fontId="16" fillId="15" borderId="0" xfId="0" applyFont="1" applyFill="1" applyAlignment="1"/>
    <xf numFmtId="0" fontId="11" fillId="15" borderId="0" xfId="0" applyFont="1" applyFill="1"/>
    <xf numFmtId="165" fontId="33" fillId="0" borderId="0" xfId="0" applyNumberFormat="1" applyFont="1" applyAlignment="1" applyProtection="1">
      <alignment horizontal="left"/>
    </xf>
    <xf numFmtId="0" fontId="7" fillId="0" borderId="0" xfId="0" applyFont="1" applyAlignment="1">
      <alignment horizontal="right"/>
    </xf>
    <xf numFmtId="0" fontId="0" fillId="0" borderId="0" xfId="0" applyBorder="1" applyAlignment="1">
      <alignment horizontal="center" wrapText="1"/>
    </xf>
    <xf numFmtId="0" fontId="33" fillId="0" borderId="0" xfId="0" applyFont="1" applyAlignment="1">
      <alignment horizontal="right"/>
    </xf>
    <xf numFmtId="0" fontId="52" fillId="7" borderId="0" xfId="0" applyFont="1" applyFill="1" applyBorder="1" applyAlignment="1">
      <alignment vertical="top"/>
    </xf>
    <xf numFmtId="0" fontId="58" fillId="7" borderId="0" xfId="0" applyFont="1" applyFill="1" applyBorder="1" applyAlignment="1">
      <alignment vertical="top"/>
    </xf>
    <xf numFmtId="0" fontId="58" fillId="7" borderId="0" xfId="0" applyFont="1" applyFill="1" applyBorder="1"/>
    <xf numFmtId="0" fontId="52" fillId="7" borderId="0" xfId="0" applyFont="1" applyFill="1" applyBorder="1" applyAlignment="1"/>
    <xf numFmtId="0" fontId="52" fillId="7" borderId="0" xfId="0" applyFont="1" applyFill="1" applyBorder="1"/>
    <xf numFmtId="165" fontId="33" fillId="0" borderId="0" xfId="0" applyNumberFormat="1" applyFont="1" applyFill="1" applyBorder="1" applyAlignment="1" applyProtection="1">
      <alignment horizontal="left"/>
    </xf>
    <xf numFmtId="0" fontId="18" fillId="15" borderId="0" xfId="4" applyFill="1" applyAlignment="1">
      <alignment horizontal="center" vertical="center"/>
    </xf>
    <xf numFmtId="0" fontId="0" fillId="0" borderId="0" xfId="0" applyAlignment="1">
      <alignment vertical="center"/>
    </xf>
    <xf numFmtId="0" fontId="9" fillId="0" borderId="0" xfId="0" applyFont="1" applyBorder="1" applyAlignment="1" applyProtection="1">
      <alignment horizontal="center"/>
    </xf>
    <xf numFmtId="0" fontId="0" fillId="0" borderId="0" xfId="0" applyBorder="1" applyAlignment="1" applyProtection="1">
      <alignment horizontal="center"/>
    </xf>
    <xf numFmtId="0" fontId="19" fillId="15" borderId="0" xfId="0" applyFont="1" applyFill="1" applyAlignment="1">
      <alignment horizontal="center" vertical="center"/>
    </xf>
    <xf numFmtId="0" fontId="19" fillId="15" borderId="0" xfId="0" applyFont="1" applyFill="1" applyAlignment="1">
      <alignment horizontal="left" vertical="center"/>
    </xf>
    <xf numFmtId="0" fontId="20" fillId="15" borderId="0" xfId="0" applyFont="1" applyFill="1" applyAlignment="1">
      <alignment horizontal="left" vertical="center"/>
    </xf>
    <xf numFmtId="0" fontId="1" fillId="15" borderId="0" xfId="0" applyFont="1" applyFill="1"/>
    <xf numFmtId="0" fontId="61" fillId="15" borderId="0" xfId="0" applyFont="1" applyFill="1"/>
    <xf numFmtId="0" fontId="60" fillId="15" borderId="0" xfId="0" applyFont="1" applyFill="1" applyAlignment="1"/>
    <xf numFmtId="0" fontId="62" fillId="15" borderId="0" xfId="0" applyFont="1" applyFill="1" applyBorder="1" applyAlignment="1">
      <alignment horizontal="center" vertical="center"/>
    </xf>
    <xf numFmtId="0" fontId="1" fillId="15" borderId="0" xfId="0" applyFont="1" applyFill="1" applyAlignment="1">
      <alignment wrapText="1"/>
    </xf>
    <xf numFmtId="0" fontId="61" fillId="15" borderId="0" xfId="0" applyFont="1" applyFill="1" applyBorder="1"/>
    <xf numFmtId="0" fontId="6" fillId="15" borderId="57" xfId="0" applyFont="1" applyFill="1" applyBorder="1"/>
    <xf numFmtId="0" fontId="6" fillId="15" borderId="9" xfId="0" applyFont="1" applyFill="1" applyBorder="1" applyAlignment="1">
      <alignment horizontal="left" vertical="center" wrapText="1"/>
    </xf>
    <xf numFmtId="0" fontId="6" fillId="15" borderId="13" xfId="0" applyFont="1" applyFill="1" applyBorder="1" applyAlignment="1">
      <alignment vertical="center" wrapText="1"/>
    </xf>
    <xf numFmtId="0" fontId="6" fillId="15" borderId="14" xfId="0" applyFont="1" applyFill="1" applyBorder="1" applyAlignment="1">
      <alignment vertical="center" wrapText="1"/>
    </xf>
    <xf numFmtId="0" fontId="6" fillId="15" borderId="15" xfId="0" applyFont="1" applyFill="1" applyBorder="1" applyAlignment="1">
      <alignment vertical="center" wrapText="1"/>
    </xf>
    <xf numFmtId="0" fontId="6" fillId="15" borderId="9" xfId="0" applyFont="1" applyFill="1" applyBorder="1" applyAlignment="1">
      <alignment vertical="center" wrapText="1"/>
    </xf>
    <xf numFmtId="0" fontId="6" fillId="15" borderId="16" xfId="0" applyFont="1" applyFill="1" applyBorder="1" applyAlignment="1">
      <alignment vertical="center" wrapText="1"/>
    </xf>
    <xf numFmtId="0" fontId="0" fillId="0" borderId="1" xfId="0" applyFont="1" applyFill="1" applyBorder="1" applyProtection="1">
      <protection locked="0"/>
    </xf>
    <xf numFmtId="0" fontId="12" fillId="15" borderId="0" xfId="0" applyFont="1" applyFill="1" applyBorder="1" applyAlignment="1" applyProtection="1">
      <alignment vertical="top" wrapText="1"/>
    </xf>
    <xf numFmtId="0" fontId="12" fillId="15" borderId="0" xfId="0" applyFont="1" applyFill="1" applyBorder="1"/>
    <xf numFmtId="0" fontId="12" fillId="15" borderId="0" xfId="0" applyFont="1" applyFill="1" applyBorder="1" applyProtection="1"/>
    <xf numFmtId="0" fontId="0" fillId="0" borderId="0" xfId="0" applyBorder="1" applyProtection="1">
      <protection locked="0"/>
    </xf>
    <xf numFmtId="0" fontId="33" fillId="0" borderId="44" xfId="0" quotePrefix="1" applyFont="1" applyBorder="1" applyAlignment="1" applyProtection="1">
      <alignment horizontal="center"/>
      <protection locked="0"/>
    </xf>
    <xf numFmtId="168" fontId="9" fillId="0" borderId="0" xfId="0" applyNumberFormat="1" applyFont="1" applyBorder="1" applyAlignment="1" applyProtection="1">
      <alignment horizontal="left" vertical="center"/>
    </xf>
    <xf numFmtId="0" fontId="0" fillId="0" borderId="0" xfId="0" applyBorder="1" applyAlignment="1" applyProtection="1">
      <alignment horizontal="left" vertical="center"/>
      <protection locked="0"/>
    </xf>
    <xf numFmtId="0" fontId="12" fillId="15" borderId="0" xfId="0" applyFont="1" applyFill="1" applyAlignment="1" applyProtection="1">
      <alignment wrapText="1"/>
    </xf>
    <xf numFmtId="0" fontId="12" fillId="15" borderId="17" xfId="0" quotePrefix="1" applyFont="1" applyFill="1" applyBorder="1" applyProtection="1">
      <protection locked="0"/>
    </xf>
    <xf numFmtId="0" fontId="12" fillId="15" borderId="0" xfId="0" applyFont="1" applyFill="1" applyBorder="1" applyAlignment="1">
      <alignment horizontal="left"/>
    </xf>
    <xf numFmtId="0" fontId="12" fillId="15" borderId="0" xfId="0" quotePrefix="1" applyFont="1" applyFill="1" applyBorder="1"/>
    <xf numFmtId="0" fontId="12" fillId="15" borderId="0" xfId="0" applyFont="1" applyFill="1" applyAlignment="1">
      <alignment vertical="top" wrapText="1"/>
    </xf>
    <xf numFmtId="0" fontId="66" fillId="15" borderId="0" xfId="0" applyFont="1" applyFill="1" applyBorder="1" applyAlignment="1">
      <alignment horizontal="center" vertical="center" wrapText="1"/>
    </xf>
    <xf numFmtId="0" fontId="9" fillId="0" borderId="0" xfId="0" applyFont="1" applyBorder="1" applyAlignment="1" applyProtection="1"/>
    <xf numFmtId="0" fontId="55" fillId="0" borderId="0" xfId="0" applyFont="1" applyBorder="1" applyAlignment="1" applyProtection="1">
      <alignment horizontal="left"/>
    </xf>
    <xf numFmtId="0" fontId="10" fillId="0" borderId="0" xfId="0" applyFont="1" applyBorder="1" applyAlignment="1" applyProtection="1"/>
    <xf numFmtId="168" fontId="10" fillId="0" borderId="0" xfId="0" applyNumberFormat="1" applyFont="1" applyBorder="1" applyAlignment="1" applyProtection="1">
      <alignment horizontal="left" vertical="center"/>
    </xf>
    <xf numFmtId="0" fontId="0" fillId="0" borderId="1" xfId="0" applyBorder="1" applyAlignment="1" applyProtection="1">
      <alignment horizontal="center" vertical="center"/>
    </xf>
    <xf numFmtId="168" fontId="0" fillId="0" borderId="1" xfId="0" applyNumberFormat="1" applyBorder="1" applyAlignment="1" applyProtection="1">
      <alignment horizontal="center" vertical="center"/>
    </xf>
    <xf numFmtId="0" fontId="63" fillId="15" borderId="0" xfId="0" applyFont="1" applyFill="1" applyBorder="1" applyAlignment="1">
      <alignment horizontal="center" vertical="center"/>
    </xf>
    <xf numFmtId="0" fontId="12" fillId="15" borderId="0" xfId="0" applyFont="1" applyFill="1"/>
    <xf numFmtId="0" fontId="40" fillId="14" borderId="11" xfId="0" applyFont="1" applyFill="1" applyBorder="1" applyAlignment="1">
      <alignment horizontal="left" vertical="center"/>
    </xf>
    <xf numFmtId="0" fontId="10" fillId="15" borderId="0" xfId="0" applyFont="1" applyFill="1"/>
    <xf numFmtId="0" fontId="10" fillId="15" borderId="17" xfId="0" applyFont="1" applyFill="1" applyBorder="1" applyProtection="1">
      <protection locked="0"/>
    </xf>
    <xf numFmtId="0" fontId="57" fillId="3" borderId="0" xfId="0" applyFont="1" applyFill="1"/>
    <xf numFmtId="0" fontId="57" fillId="3" borderId="1" xfId="0" applyFont="1" applyFill="1" applyBorder="1" applyProtection="1">
      <protection locked="0"/>
    </xf>
    <xf numFmtId="0" fontId="64" fillId="0" borderId="0" xfId="0" applyFont="1" applyFill="1"/>
    <xf numFmtId="0" fontId="28" fillId="0" borderId="0" xfId="0" applyFont="1" applyFill="1" applyBorder="1" applyAlignment="1">
      <alignment horizontal="center"/>
    </xf>
    <xf numFmtId="0" fontId="0" fillId="3" borderId="0" xfId="0" applyFont="1" applyFill="1" applyAlignment="1">
      <alignment horizontal="center"/>
    </xf>
    <xf numFmtId="0" fontId="10" fillId="0" borderId="0" xfId="0" applyFont="1" applyFill="1" applyAlignment="1" applyProtection="1">
      <alignment horizontal="left"/>
    </xf>
    <xf numFmtId="0" fontId="10" fillId="15" borderId="0" xfId="0" applyFont="1" applyFill="1" applyBorder="1" applyProtection="1"/>
    <xf numFmtId="0" fontId="40" fillId="15" borderId="0" xfId="0" applyFont="1" applyFill="1" applyAlignment="1"/>
    <xf numFmtId="0" fontId="40" fillId="15" borderId="18" xfId="0" applyFont="1" applyFill="1" applyBorder="1" applyAlignment="1"/>
    <xf numFmtId="0" fontId="12" fillId="15" borderId="17" xfId="0" quotePrefix="1" applyFont="1" applyFill="1" applyBorder="1" applyAlignment="1" applyProtection="1">
      <alignment horizontal="center"/>
      <protection locked="0"/>
    </xf>
    <xf numFmtId="0" fontId="59" fillId="15" borderId="0" xfId="0" applyFont="1" applyFill="1" applyAlignment="1">
      <alignment vertical="center" wrapText="1"/>
    </xf>
    <xf numFmtId="0" fontId="69" fillId="15" borderId="0" xfId="0" applyFont="1" applyFill="1" applyBorder="1" applyAlignment="1" applyProtection="1">
      <alignment vertical="center"/>
    </xf>
    <xf numFmtId="0" fontId="0" fillId="3" borderId="0" xfId="0" applyFill="1" applyBorder="1" applyAlignment="1" applyProtection="1">
      <alignment vertical="top" wrapText="1"/>
    </xf>
    <xf numFmtId="0" fontId="10" fillId="0" borderId="1" xfId="0" applyFont="1" applyBorder="1" applyProtection="1">
      <protection locked="0"/>
    </xf>
    <xf numFmtId="0" fontId="10" fillId="0" borderId="1" xfId="0" applyFont="1" applyBorder="1" applyAlignment="1">
      <alignment horizontal="center"/>
    </xf>
    <xf numFmtId="0" fontId="0" fillId="0" borderId="0" xfId="0"/>
    <xf numFmtId="0" fontId="10" fillId="0" borderId="0" xfId="0" applyFont="1"/>
    <xf numFmtId="0" fontId="0" fillId="4" borderId="0" xfId="0" applyFill="1"/>
    <xf numFmtId="0" fontId="6" fillId="14" borderId="0" xfId="0" applyFont="1" applyFill="1" applyBorder="1"/>
    <xf numFmtId="0" fontId="20" fillId="15" borderId="0" xfId="0" applyFont="1" applyFill="1" applyBorder="1"/>
    <xf numFmtId="0" fontId="0" fillId="0" borderId="0" xfId="0" applyFill="1" applyBorder="1"/>
    <xf numFmtId="0" fontId="0" fillId="0" borderId="1" xfId="0" applyBorder="1" applyProtection="1">
      <protection locked="0"/>
    </xf>
    <xf numFmtId="165" fontId="1" fillId="0" borderId="1" xfId="0" applyNumberFormat="1" applyFont="1" applyFill="1" applyBorder="1" applyAlignment="1">
      <alignment horizontal="left"/>
    </xf>
    <xf numFmtId="164" fontId="0" fillId="0" borderId="0" xfId="0" applyNumberFormat="1" applyAlignment="1">
      <alignment horizontal="left"/>
    </xf>
    <xf numFmtId="0" fontId="6" fillId="3" borderId="0" xfId="0" applyFont="1" applyFill="1" applyBorder="1" applyProtection="1"/>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0" fillId="3" borderId="0" xfId="0" applyFill="1" applyBorder="1"/>
    <xf numFmtId="0" fontId="0" fillId="0" borderId="0" xfId="0" applyFill="1" applyBorder="1" applyAlignment="1">
      <alignment horizontal="center"/>
    </xf>
    <xf numFmtId="0" fontId="12" fillId="3" borderId="0" xfId="0" applyFont="1" applyFill="1" applyBorder="1" applyAlignment="1" applyProtection="1">
      <alignment vertical="top" wrapText="1"/>
    </xf>
    <xf numFmtId="0" fontId="0" fillId="15" borderId="0" xfId="0" applyFill="1" applyBorder="1"/>
    <xf numFmtId="0" fontId="0" fillId="0" borderId="0" xfId="0" applyBorder="1"/>
    <xf numFmtId="0" fontId="0" fillId="0" borderId="0" xfId="0" applyFill="1" applyBorder="1" applyProtection="1">
      <protection locked="0"/>
    </xf>
    <xf numFmtId="0" fontId="27" fillId="15" borderId="0" xfId="0" applyFont="1" applyFill="1" applyAlignment="1">
      <alignment horizontal="left" vertical="center" wrapText="1"/>
    </xf>
    <xf numFmtId="0" fontId="26" fillId="0" borderId="0" xfId="0" applyFont="1" applyFill="1" applyBorder="1" applyAlignment="1">
      <alignment vertical="center"/>
    </xf>
    <xf numFmtId="0" fontId="0" fillId="0" borderId="0" xfId="0" applyFill="1" applyBorder="1" applyAlignment="1">
      <alignment vertical="center"/>
    </xf>
    <xf numFmtId="0" fontId="2" fillId="0" borderId="0" xfId="0" applyFont="1" applyFill="1" applyAlignment="1"/>
    <xf numFmtId="165" fontId="0" fillId="0" borderId="0" xfId="0" applyNumberFormat="1" applyFill="1" applyAlignment="1"/>
    <xf numFmtId="0" fontId="0" fillId="0" borderId="0" xfId="0" applyFill="1" applyAlignment="1"/>
    <xf numFmtId="0" fontId="0" fillId="0" borderId="9" xfId="0" applyFill="1" applyBorder="1" applyAlignment="1"/>
    <xf numFmtId="165" fontId="0" fillId="0" borderId="9" xfId="0" applyNumberFormat="1" applyFill="1" applyBorder="1" applyAlignment="1"/>
    <xf numFmtId="0" fontId="2" fillId="0" borderId="9" xfId="0" applyFont="1" applyFill="1" applyBorder="1" applyAlignment="1"/>
    <xf numFmtId="0" fontId="0" fillId="0" borderId="9" xfId="0" applyBorder="1" applyAlignment="1">
      <alignment vertical="center"/>
    </xf>
    <xf numFmtId="0" fontId="66" fillId="15" borderId="0" xfId="0" applyFont="1" applyFill="1" applyAlignment="1">
      <alignment horizontal="left" vertical="top"/>
    </xf>
    <xf numFmtId="0" fontId="13" fillId="15" borderId="0" xfId="0" applyFont="1" applyFill="1" applyAlignment="1"/>
    <xf numFmtId="0" fontId="12" fillId="15" borderId="0" xfId="0" applyFont="1" applyFill="1" applyBorder="1" applyAlignment="1" applyProtection="1">
      <alignment vertical="top"/>
    </xf>
    <xf numFmtId="0" fontId="0" fillId="3" borderId="0" xfId="0" applyFill="1" applyAlignment="1">
      <alignment vertical="top"/>
    </xf>
    <xf numFmtId="0" fontId="0" fillId="4" borderId="0" xfId="0" applyFill="1" applyAlignment="1">
      <alignment vertical="top"/>
    </xf>
    <xf numFmtId="0" fontId="10" fillId="0" borderId="32" xfId="0" applyFont="1" applyBorder="1" applyProtection="1">
      <protection locked="0"/>
    </xf>
    <xf numFmtId="0" fontId="12" fillId="15" borderId="0" xfId="0" applyFont="1" applyFill="1" applyBorder="1" applyAlignment="1">
      <alignment horizontal="left" vertical="top" wrapText="1"/>
    </xf>
    <xf numFmtId="0" fontId="32" fillId="15" borderId="0" xfId="0" applyFont="1" applyFill="1" applyAlignment="1">
      <alignment vertical="top"/>
    </xf>
    <xf numFmtId="0" fontId="65" fillId="15" borderId="0" xfId="0" applyFont="1" applyFill="1" applyBorder="1" applyAlignment="1">
      <alignment horizontal="left" vertical="center" wrapText="1"/>
    </xf>
    <xf numFmtId="0" fontId="20" fillId="14" borderId="0" xfId="0" applyFont="1" applyFill="1" applyAlignment="1">
      <alignment horizontal="left" vertical="center"/>
    </xf>
    <xf numFmtId="0" fontId="22" fillId="15" borderId="0" xfId="0" applyFont="1" applyFill="1" applyBorder="1" applyAlignment="1">
      <alignment horizontal="center" vertical="center"/>
    </xf>
    <xf numFmtId="0" fontId="27" fillId="15" borderId="0" xfId="0" applyFont="1" applyFill="1" applyAlignment="1">
      <alignment wrapText="1"/>
    </xf>
    <xf numFmtId="165" fontId="0" fillId="0" borderId="0" xfId="0" applyNumberFormat="1"/>
    <xf numFmtId="0" fontId="6" fillId="15" borderId="0" xfId="0" applyFont="1" applyFill="1"/>
    <xf numFmtId="0" fontId="0" fillId="15" borderId="0" xfId="0" applyFill="1" applyProtection="1">
      <protection locked="0"/>
    </xf>
    <xf numFmtId="0" fontId="12" fillId="15" borderId="0" xfId="0" quotePrefix="1" applyFont="1" applyFill="1" applyBorder="1" applyAlignment="1" applyProtection="1">
      <alignment horizontal="left" vertical="top"/>
    </xf>
    <xf numFmtId="0" fontId="40" fillId="15" borderId="0" xfId="0" quotePrefix="1" applyFont="1" applyFill="1" applyBorder="1" applyAlignment="1" applyProtection="1">
      <alignment horizontal="left" vertical="top"/>
    </xf>
    <xf numFmtId="0" fontId="77" fillId="15" borderId="0" xfId="4" quotePrefix="1" applyFont="1" applyFill="1" applyBorder="1" applyAlignment="1" applyProtection="1">
      <alignment horizontal="center" vertical="top"/>
    </xf>
    <xf numFmtId="1" fontId="6" fillId="15" borderId="17" xfId="0" applyNumberFormat="1" applyFont="1" applyFill="1" applyBorder="1" applyProtection="1">
      <protection locked="0"/>
    </xf>
    <xf numFmtId="0" fontId="0" fillId="0" borderId="0" xfId="0" quotePrefix="1"/>
    <xf numFmtId="0" fontId="77" fillId="15" borderId="0" xfId="4" applyFont="1" applyFill="1" applyAlignment="1">
      <alignment horizontal="center"/>
    </xf>
    <xf numFmtId="0" fontId="75" fillId="15" borderId="0" xfId="0" applyFont="1" applyFill="1"/>
    <xf numFmtId="0" fontId="16" fillId="3" borderId="0" xfId="0" applyFont="1" applyFill="1" applyAlignment="1"/>
    <xf numFmtId="0" fontId="6" fillId="3" borderId="0" xfId="0" applyFont="1" applyFill="1" applyBorder="1"/>
    <xf numFmtId="0" fontId="6" fillId="3" borderId="0" xfId="0" applyFont="1" applyFill="1" applyBorder="1" applyAlignment="1">
      <alignment horizontal="right"/>
    </xf>
    <xf numFmtId="0" fontId="73" fillId="3" borderId="0" xfId="0" applyFont="1" applyFill="1" applyBorder="1" applyAlignment="1">
      <alignment horizontal="right"/>
    </xf>
    <xf numFmtId="0" fontId="6" fillId="3" borderId="0" xfId="0" applyFont="1" applyFill="1"/>
    <xf numFmtId="0" fontId="73" fillId="3" borderId="0" xfId="0" applyFont="1" applyFill="1"/>
    <xf numFmtId="0" fontId="73" fillId="3" borderId="58" xfId="0" applyFont="1" applyFill="1" applyBorder="1" applyAlignment="1">
      <alignment horizontal="center"/>
    </xf>
    <xf numFmtId="0" fontId="40" fillId="15" borderId="0" xfId="0" quotePrefix="1" applyFont="1" applyFill="1" applyBorder="1" applyAlignment="1" applyProtection="1">
      <alignment vertical="top"/>
    </xf>
    <xf numFmtId="0" fontId="59" fillId="15" borderId="0" xfId="0" quotePrefix="1" applyFont="1" applyFill="1" applyBorder="1" applyAlignment="1" applyProtection="1">
      <alignment vertical="top"/>
    </xf>
    <xf numFmtId="0" fontId="20" fillId="15" borderId="0" xfId="0" applyFont="1" applyFill="1" applyAlignment="1">
      <alignment horizontal="center" wrapText="1"/>
    </xf>
    <xf numFmtId="0" fontId="0" fillId="15" borderId="0" xfId="0" applyFill="1" applyAlignment="1">
      <alignment vertical="center"/>
    </xf>
    <xf numFmtId="0" fontId="0" fillId="16" borderId="0" xfId="0" applyFill="1"/>
    <xf numFmtId="0" fontId="0" fillId="17" borderId="0" xfId="0" applyFill="1"/>
    <xf numFmtId="0" fontId="0" fillId="15" borderId="0" xfId="0" applyFill="1" applyBorder="1" applyAlignment="1" applyProtection="1">
      <alignment horizontal="center" vertical="center" wrapText="1"/>
      <protection locked="0"/>
    </xf>
    <xf numFmtId="0" fontId="6" fillId="15" borderId="0" xfId="0" applyFont="1" applyFill="1" applyAlignment="1">
      <alignment vertical="top" wrapText="1"/>
    </xf>
    <xf numFmtId="0" fontId="87" fillId="0" borderId="0" xfId="0" applyFont="1"/>
    <xf numFmtId="0" fontId="33" fillId="0" borderId="0" xfId="0" applyFont="1" applyBorder="1" applyAlignment="1">
      <alignment horizontal="left" vertical="center"/>
    </xf>
    <xf numFmtId="0" fontId="2" fillId="0" borderId="0" xfId="0" applyNumberFormat="1" applyFont="1"/>
    <xf numFmtId="0" fontId="10" fillId="0" borderId="0" xfId="0" applyFont="1" applyAlignment="1">
      <alignment vertical="center"/>
    </xf>
    <xf numFmtId="0" fontId="33" fillId="0" borderId="0" xfId="0" applyFont="1"/>
    <xf numFmtId="0" fontId="33" fillId="0" borderId="0" xfId="0" applyFont="1" applyFill="1" applyBorder="1"/>
    <xf numFmtId="0" fontId="1" fillId="0" borderId="0" xfId="0" applyFont="1" applyFill="1"/>
    <xf numFmtId="0" fontId="90" fillId="0" borderId="0" xfId="0" applyFont="1"/>
    <xf numFmtId="0" fontId="55" fillId="0" borderId="0" xfId="0" applyFont="1" applyFill="1"/>
    <xf numFmtId="0" fontId="10" fillId="0" borderId="0" xfId="0" applyFont="1" applyFill="1" applyBorder="1" applyAlignment="1">
      <alignment vertical="top" wrapText="1"/>
    </xf>
    <xf numFmtId="0" fontId="13" fillId="0" borderId="0" xfId="0" applyFont="1" applyFill="1" applyBorder="1" applyAlignment="1">
      <alignment horizontal="center" vertical="top"/>
    </xf>
    <xf numFmtId="0" fontId="33" fillId="0" borderId="0" xfId="0" applyFont="1" applyFill="1" applyAlignment="1">
      <alignment horizontal="right"/>
    </xf>
    <xf numFmtId="0" fontId="55" fillId="0" borderId="0" xfId="0" applyFont="1" applyAlignment="1">
      <alignment vertical="center"/>
    </xf>
    <xf numFmtId="0" fontId="91" fillId="0" borderId="0" xfId="0" applyFont="1"/>
    <xf numFmtId="0" fontId="33" fillId="0" borderId="64" xfId="0" quotePrefix="1" applyFont="1" applyFill="1" applyBorder="1" applyProtection="1">
      <protection locked="0"/>
    </xf>
    <xf numFmtId="165" fontId="33" fillId="0" borderId="64" xfId="0" applyNumberFormat="1" applyFont="1" applyFill="1" applyBorder="1" applyProtection="1">
      <protection locked="0"/>
    </xf>
    <xf numFmtId="0" fontId="92" fillId="0" borderId="0" xfId="0" applyFont="1" applyBorder="1" applyAlignment="1">
      <alignment vertical="top" wrapText="1"/>
    </xf>
    <xf numFmtId="0" fontId="2" fillId="18" borderId="0" xfId="0" applyFont="1" applyFill="1" applyAlignment="1"/>
    <xf numFmtId="0" fontId="95" fillId="0" borderId="0" xfId="4" applyFont="1" applyAlignment="1"/>
    <xf numFmtId="49" fontId="33" fillId="0" borderId="64" xfId="0" applyNumberFormat="1" applyFont="1" applyFill="1" applyBorder="1" applyProtection="1">
      <protection locked="0"/>
    </xf>
    <xf numFmtId="49" fontId="33" fillId="0" borderId="0" xfId="0" applyNumberFormat="1" applyFont="1" applyFill="1" applyBorder="1" applyProtection="1">
      <protection locked="0"/>
    </xf>
    <xf numFmtId="0" fontId="33" fillId="18" borderId="0" xfId="0" applyFont="1" applyFill="1"/>
    <xf numFmtId="49" fontId="33" fillId="18" borderId="0" xfId="0" applyNumberFormat="1" applyFont="1" applyFill="1" applyBorder="1" applyProtection="1">
      <protection locked="0"/>
    </xf>
    <xf numFmtId="0" fontId="0" fillId="18" borderId="0" xfId="0" applyFill="1" applyAlignment="1">
      <alignment horizontal="center"/>
    </xf>
    <xf numFmtId="0" fontId="1" fillId="18" borderId="0" xfId="0" applyFont="1" applyFill="1"/>
    <xf numFmtId="0" fontId="13" fillId="18" borderId="0" xfId="0" applyFont="1" applyFill="1" applyBorder="1" applyAlignment="1">
      <alignment horizontal="center" vertical="top"/>
    </xf>
    <xf numFmtId="0" fontId="0" fillId="18" borderId="0" xfId="0" applyFill="1" applyAlignment="1">
      <alignment vertical="center"/>
    </xf>
    <xf numFmtId="0" fontId="92" fillId="18" borderId="0" xfId="0" applyFont="1" applyFill="1" applyBorder="1" applyAlignment="1">
      <alignment vertical="top" wrapText="1"/>
    </xf>
    <xf numFmtId="0" fontId="0" fillId="3" borderId="0" xfId="0" applyFill="1" applyBorder="1" applyAlignment="1">
      <alignment horizontal="left" vertical="top" wrapText="1"/>
    </xf>
    <xf numFmtId="0" fontId="22" fillId="15" borderId="0" xfId="0" applyFont="1" applyFill="1" applyBorder="1" applyAlignment="1">
      <alignment horizontal="center" vertical="center"/>
    </xf>
    <xf numFmtId="0" fontId="12" fillId="15" borderId="0" xfId="0" applyFont="1" applyFill="1" applyAlignment="1">
      <alignment horizontal="left" vertical="center" wrapText="1"/>
    </xf>
    <xf numFmtId="0" fontId="10" fillId="3" borderId="0" xfId="0" applyFont="1" applyFill="1" applyBorder="1" applyAlignment="1">
      <alignment vertical="top"/>
    </xf>
    <xf numFmtId="0" fontId="12" fillId="15" borderId="8" xfId="0" quotePrefix="1" applyFont="1" applyFill="1" applyBorder="1" applyAlignment="1" applyProtection="1">
      <alignment horizontal="center" vertical="center" wrapText="1"/>
      <protection locked="0"/>
    </xf>
    <xf numFmtId="165" fontId="33" fillId="0" borderId="0" xfId="0" applyNumberFormat="1" applyFont="1" applyBorder="1" applyAlignment="1">
      <alignment horizontal="left" vertical="center"/>
    </xf>
    <xf numFmtId="0" fontId="92" fillId="0" borderId="0" xfId="0" applyFont="1" applyBorder="1" applyAlignment="1">
      <alignment horizontal="center" vertical="center" wrapText="1"/>
    </xf>
    <xf numFmtId="0" fontId="9" fillId="0" borderId="0" xfId="0" applyFont="1" applyAlignment="1">
      <alignment horizontal="right"/>
    </xf>
    <xf numFmtId="0" fontId="97" fillId="0" borderId="0" xfId="0" applyFont="1" applyFill="1" applyAlignment="1" applyProtection="1">
      <alignment wrapText="1"/>
    </xf>
    <xf numFmtId="0" fontId="99" fillId="15" borderId="0" xfId="4" applyFont="1" applyFill="1" applyAlignment="1" applyProtection="1">
      <alignment vertical="center"/>
    </xf>
    <xf numFmtId="0" fontId="6" fillId="15" borderId="0" xfId="0" applyFont="1" applyFill="1" applyAlignment="1">
      <alignment horizontal="center"/>
    </xf>
    <xf numFmtId="0" fontId="6" fillId="15" borderId="0" xfId="0" quotePrefix="1" applyFont="1" applyFill="1" applyAlignment="1"/>
    <xf numFmtId="0" fontId="6" fillId="15" borderId="0" xfId="0" quotePrefix="1" applyFont="1" applyFill="1"/>
    <xf numFmtId="0" fontId="0" fillId="4" borderId="0" xfId="0" applyFill="1" applyAlignment="1">
      <alignment vertical="center"/>
    </xf>
    <xf numFmtId="0" fontId="16" fillId="15" borderId="0" xfId="0" applyFont="1" applyFill="1"/>
    <xf numFmtId="0" fontId="6" fillId="15" borderId="79" xfId="0" quotePrefix="1" applyFont="1" applyFill="1" applyBorder="1" applyAlignment="1"/>
    <xf numFmtId="0" fontId="6" fillId="15" borderId="80" xfId="0" quotePrefix="1" applyFont="1" applyFill="1" applyBorder="1" applyAlignment="1">
      <alignment vertical="center"/>
    </xf>
    <xf numFmtId="0" fontId="6" fillId="15" borderId="81" xfId="0" applyFont="1" applyFill="1" applyBorder="1"/>
    <xf numFmtId="0" fontId="6" fillId="15" borderId="80" xfId="0" applyFont="1" applyFill="1" applyBorder="1" applyAlignment="1"/>
    <xf numFmtId="0" fontId="6" fillId="15" borderId="86" xfId="0" applyFont="1" applyFill="1" applyBorder="1"/>
    <xf numFmtId="0" fontId="6" fillId="15" borderId="85" xfId="0" applyFont="1" applyFill="1" applyBorder="1"/>
    <xf numFmtId="0" fontId="6" fillId="15" borderId="0" xfId="0" quotePrefix="1" applyFont="1" applyFill="1" applyBorder="1"/>
    <xf numFmtId="0" fontId="6" fillId="15" borderId="82" xfId="0" applyFont="1" applyFill="1" applyBorder="1" applyAlignment="1">
      <alignment vertical="top"/>
    </xf>
    <xf numFmtId="0" fontId="16" fillId="15" borderId="83" xfId="0" applyFont="1" applyFill="1" applyBorder="1" applyAlignment="1">
      <alignment vertical="top"/>
    </xf>
    <xf numFmtId="0" fontId="6" fillId="15" borderId="83" xfId="0" applyFont="1" applyFill="1" applyBorder="1" applyAlignment="1">
      <alignment vertical="top"/>
    </xf>
    <xf numFmtId="0" fontId="6" fillId="15" borderId="84" xfId="0" applyFont="1" applyFill="1" applyBorder="1" applyAlignment="1">
      <alignment vertical="top"/>
    </xf>
    <xf numFmtId="0" fontId="6" fillId="15" borderId="0" xfId="0" quotePrefix="1" applyFont="1" applyFill="1" applyBorder="1" applyAlignment="1">
      <alignment vertical="center"/>
    </xf>
    <xf numFmtId="0" fontId="20" fillId="15" borderId="0" xfId="0" applyFont="1" applyFill="1" applyBorder="1" applyAlignment="1">
      <alignment vertical="center"/>
    </xf>
    <xf numFmtId="0" fontId="106" fillId="15" borderId="0" xfId="4" applyFont="1" applyFill="1" applyAlignment="1">
      <alignment horizontal="left"/>
    </xf>
    <xf numFmtId="0" fontId="6" fillId="15" borderId="0" xfId="0" quotePrefix="1" applyFont="1" applyFill="1" applyAlignment="1">
      <alignment horizontal="left"/>
    </xf>
    <xf numFmtId="0" fontId="6" fillId="15" borderId="0" xfId="0" quotePrefix="1" applyFont="1" applyFill="1" applyAlignment="1">
      <alignment horizontal="left" vertical="top"/>
    </xf>
    <xf numFmtId="0" fontId="6" fillId="15" borderId="0" xfId="0" applyFont="1" applyFill="1" applyAlignment="1">
      <alignment horizontal="right"/>
    </xf>
    <xf numFmtId="0" fontId="18" fillId="15" borderId="0" xfId="4" applyFill="1" applyAlignment="1">
      <alignment horizontal="left"/>
    </xf>
    <xf numFmtId="168" fontId="7" fillId="0" borderId="0" xfId="0" applyNumberFormat="1" applyFont="1" applyBorder="1" applyAlignment="1" applyProtection="1">
      <alignment horizontal="left" vertical="center"/>
    </xf>
    <xf numFmtId="0" fontId="6" fillId="15" borderId="0" xfId="0" applyFont="1" applyFill="1" applyBorder="1" applyAlignment="1">
      <alignment horizontal="right"/>
    </xf>
    <xf numFmtId="166" fontId="6" fillId="15" borderId="0" xfId="0" applyNumberFormat="1" applyFont="1" applyFill="1" applyBorder="1"/>
    <xf numFmtId="166" fontId="6" fillId="15" borderId="0" xfId="0" applyNumberFormat="1" applyFont="1" applyFill="1" applyBorder="1" applyAlignment="1">
      <alignment horizontal="center"/>
    </xf>
    <xf numFmtId="0" fontId="57" fillId="19" borderId="0" xfId="0" applyFont="1" applyFill="1"/>
    <xf numFmtId="0" fontId="109" fillId="15" borderId="0" xfId="0" applyFont="1" applyFill="1" applyBorder="1" applyAlignment="1">
      <alignment horizontal="right"/>
    </xf>
    <xf numFmtId="0" fontId="6" fillId="15" borderId="0" xfId="0" applyFont="1" applyFill="1" applyAlignment="1">
      <alignment horizontal="left"/>
    </xf>
    <xf numFmtId="0" fontId="0" fillId="0" borderId="0" xfId="0"/>
    <xf numFmtId="0" fontId="0" fillId="15" borderId="0" xfId="0" applyFill="1"/>
    <xf numFmtId="0" fontId="0" fillId="3" borderId="1" xfId="0" applyFill="1" applyBorder="1" applyProtection="1"/>
    <xf numFmtId="0" fontId="0" fillId="0" borderId="1" xfId="0" applyBorder="1" applyProtection="1"/>
    <xf numFmtId="0" fontId="25" fillId="4" borderId="0" xfId="0" applyFont="1" applyFill="1"/>
    <xf numFmtId="0" fontId="0" fillId="4" borderId="1" xfId="0" applyFill="1" applyBorder="1" applyProtection="1"/>
    <xf numFmtId="0" fontId="0" fillId="4" borderId="0" xfId="0" applyFill="1" applyAlignment="1">
      <alignment horizontal="center"/>
    </xf>
    <xf numFmtId="0" fontId="0" fillId="4" borderId="0" xfId="0" applyFill="1" applyBorder="1" applyProtection="1">
      <protection locked="0"/>
    </xf>
    <xf numFmtId="0" fontId="2" fillId="3" borderId="0" xfId="0" applyFont="1" applyFill="1" applyAlignment="1">
      <alignment horizontal="center"/>
    </xf>
    <xf numFmtId="0" fontId="112" fillId="3" borderId="0" xfId="0" applyFont="1" applyFill="1"/>
    <xf numFmtId="0" fontId="113" fillId="3" borderId="0" xfId="0" applyFont="1" applyFill="1" applyBorder="1" applyAlignment="1" applyProtection="1">
      <alignment horizontal="center" vertical="center"/>
    </xf>
    <xf numFmtId="0" fontId="113" fillId="3" borderId="0" xfId="0" applyFont="1" applyFill="1" applyBorder="1" applyAlignment="1">
      <alignment horizontal="center" vertical="center"/>
    </xf>
    <xf numFmtId="0" fontId="112" fillId="3" borderId="0" xfId="0" applyFont="1" applyFill="1" applyAlignment="1">
      <alignment wrapText="1"/>
    </xf>
    <xf numFmtId="0" fontId="114" fillId="3" borderId="0" xfId="0" applyFont="1" applyFill="1" applyAlignment="1">
      <alignment horizontal="left" vertical="top" wrapText="1"/>
    </xf>
    <xf numFmtId="0" fontId="112" fillId="15" borderId="0" xfId="0" applyFont="1" applyFill="1"/>
    <xf numFmtId="0" fontId="113" fillId="15" borderId="0" xfId="0" applyFont="1" applyFill="1" applyBorder="1" applyAlignment="1">
      <alignment horizontal="center" vertical="center"/>
    </xf>
    <xf numFmtId="0" fontId="116" fillId="0" borderId="0" xfId="1" applyFont="1"/>
    <xf numFmtId="0" fontId="38" fillId="15" borderId="0" xfId="0" applyFont="1" applyFill="1" applyAlignment="1">
      <alignment vertical="center"/>
    </xf>
    <xf numFmtId="166" fontId="11" fillId="14" borderId="0" xfId="0" applyNumberFormat="1" applyFont="1" applyFill="1" applyAlignment="1">
      <alignment horizontal="center"/>
    </xf>
    <xf numFmtId="0" fontId="34" fillId="15" borderId="21" xfId="0" quotePrefix="1" applyFont="1" applyFill="1" applyBorder="1" applyAlignment="1">
      <alignment horizontal="right"/>
    </xf>
    <xf numFmtId="0" fontId="7" fillId="0" borderId="0" xfId="0" applyFont="1" applyFill="1" applyBorder="1" applyAlignment="1" applyProtection="1">
      <alignment horizontal="left"/>
    </xf>
    <xf numFmtId="167" fontId="10" fillId="0" borderId="0" xfId="0" applyNumberFormat="1" applyFont="1" applyBorder="1" applyAlignment="1" applyProtection="1"/>
    <xf numFmtId="166" fontId="7" fillId="0" borderId="0" xfId="0" applyNumberFormat="1" applyFont="1" applyBorder="1" applyAlignment="1" applyProtection="1">
      <alignment horizontal="center"/>
    </xf>
    <xf numFmtId="167" fontId="55" fillId="0" borderId="0" xfId="0" applyNumberFormat="1" applyFont="1" applyBorder="1" applyAlignment="1" applyProtection="1">
      <alignment horizontal="center"/>
    </xf>
    <xf numFmtId="166" fontId="47" fillId="0" borderId="0" xfId="0" applyNumberFormat="1" applyFont="1" applyBorder="1" applyAlignment="1" applyProtection="1">
      <alignment horizontal="center"/>
    </xf>
    <xf numFmtId="0" fontId="5" fillId="0" borderId="1" xfId="1" applyFont="1" applyBorder="1"/>
    <xf numFmtId="0" fontId="116" fillId="0" borderId="1" xfId="1" applyFont="1" applyBorder="1"/>
    <xf numFmtId="0" fontId="23" fillId="15" borderId="0" xfId="0" applyFont="1" applyFill="1" applyAlignment="1">
      <alignment vertical="top"/>
    </xf>
    <xf numFmtId="0" fontId="46" fillId="15" borderId="0" xfId="0" applyFont="1" applyFill="1"/>
    <xf numFmtId="0" fontId="6" fillId="15" borderId="87" xfId="0" applyFont="1" applyFill="1" applyBorder="1"/>
    <xf numFmtId="0" fontId="16" fillId="15" borderId="87" xfId="0" applyFont="1" applyFill="1" applyBorder="1"/>
    <xf numFmtId="0" fontId="6" fillId="15" borderId="87" xfId="0" quotePrefix="1" applyFont="1" applyFill="1" applyBorder="1" applyAlignment="1">
      <alignment horizontal="left"/>
    </xf>
    <xf numFmtId="0" fontId="6" fillId="15" borderId="87" xfId="0" quotePrefix="1" applyFont="1" applyFill="1" applyBorder="1" applyAlignment="1"/>
    <xf numFmtId="0" fontId="16" fillId="15" borderId="87" xfId="0" applyFont="1" applyFill="1" applyBorder="1" applyAlignment="1"/>
    <xf numFmtId="0" fontId="6" fillId="15" borderId="87" xfId="0" applyFont="1" applyFill="1" applyBorder="1" applyAlignment="1"/>
    <xf numFmtId="0" fontId="6" fillId="15" borderId="87" xfId="0" applyFont="1" applyFill="1" applyBorder="1" applyAlignment="1">
      <alignment horizontal="left"/>
    </xf>
    <xf numFmtId="0" fontId="6" fillId="15" borderId="87" xfId="0" quotePrefix="1" applyFont="1" applyFill="1" applyBorder="1" applyAlignment="1">
      <alignment horizontal="left" vertical="top"/>
    </xf>
    <xf numFmtId="0" fontId="6" fillId="4" borderId="0" xfId="0" applyFont="1" applyFill="1" applyAlignment="1">
      <alignment vertical="top"/>
    </xf>
    <xf numFmtId="0" fontId="6" fillId="4" borderId="0" xfId="0" applyFont="1" applyFill="1"/>
    <xf numFmtId="0" fontId="6" fillId="15" borderId="0" xfId="0" applyFont="1" applyFill="1" applyBorder="1" applyAlignment="1">
      <alignment horizontal="right"/>
    </xf>
    <xf numFmtId="0" fontId="10" fillId="3" borderId="0" xfId="0" applyFont="1" applyFill="1" applyBorder="1" applyAlignment="1">
      <alignment horizontal="left" vertical="top" wrapText="1"/>
    </xf>
    <xf numFmtId="0" fontId="0" fillId="15" borderId="0" xfId="0" applyFill="1"/>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57" fillId="3" borderId="0" xfId="0" applyFont="1" applyFill="1" applyAlignment="1">
      <alignment wrapText="1"/>
    </xf>
    <xf numFmtId="164" fontId="0" fillId="0" borderId="0" xfId="0" applyNumberFormat="1" applyFill="1" applyBorder="1" applyAlignment="1" applyProtection="1">
      <alignment horizontal="left"/>
      <protection locked="0"/>
    </xf>
    <xf numFmtId="0" fontId="34" fillId="15" borderId="0" xfId="0" quotePrefix="1" applyFont="1" applyFill="1" applyBorder="1" applyAlignment="1">
      <alignment horizontal="right"/>
    </xf>
    <xf numFmtId="0" fontId="0" fillId="0" borderId="0" xfId="0" applyProtection="1">
      <protection locked="0"/>
    </xf>
    <xf numFmtId="0" fontId="119" fillId="15" borderId="0" xfId="0" applyFont="1" applyFill="1" applyBorder="1" applyAlignment="1">
      <alignment horizontal="center" vertical="top" wrapText="1"/>
    </xf>
    <xf numFmtId="0" fontId="0" fillId="0" borderId="1" xfId="0" applyBorder="1" applyAlignment="1" applyProtection="1">
      <alignment horizontal="center" vertical="center"/>
      <protection locked="0"/>
    </xf>
    <xf numFmtId="0" fontId="7" fillId="0" borderId="44" xfId="0" applyFont="1" applyBorder="1" applyAlignment="1">
      <alignment horizontal="center"/>
    </xf>
    <xf numFmtId="0" fontId="118" fillId="0" borderId="0" xfId="0" applyFont="1" applyAlignment="1">
      <alignment vertical="top"/>
    </xf>
    <xf numFmtId="0" fontId="91" fillId="0" borderId="0" xfId="0" applyFont="1" applyProtection="1"/>
    <xf numFmtId="0" fontId="12" fillId="15" borderId="17" xfId="0" quotePrefix="1" applyFont="1" applyFill="1" applyBorder="1" applyAlignment="1" applyProtection="1">
      <alignment horizontal="center" vertical="center"/>
      <protection locked="0"/>
    </xf>
    <xf numFmtId="0" fontId="99" fillId="15" borderId="0" xfId="4" applyFont="1" applyFill="1" applyBorder="1" applyAlignment="1">
      <alignment vertical="top"/>
    </xf>
    <xf numFmtId="0" fontId="14" fillId="15" borderId="0" xfId="0" applyFont="1" applyFill="1" applyBorder="1" applyAlignment="1">
      <alignment vertical="top"/>
    </xf>
    <xf numFmtId="165" fontId="10" fillId="0" borderId="0" xfId="0" applyNumberFormat="1" applyFont="1" applyAlignment="1">
      <alignment horizontal="left"/>
    </xf>
    <xf numFmtId="165" fontId="9" fillId="0" borderId="1" xfId="0" applyNumberFormat="1" applyFont="1" applyFill="1" applyBorder="1" applyAlignment="1">
      <alignment horizontal="left"/>
    </xf>
    <xf numFmtId="0" fontId="22" fillId="15" borderId="9" xfId="0" applyFont="1" applyFill="1" applyBorder="1" applyAlignment="1">
      <alignment horizontal="center" vertical="center"/>
    </xf>
    <xf numFmtId="0" fontId="6" fillId="15" borderId="17" xfId="0" quotePrefix="1" applyFont="1" applyFill="1" applyBorder="1" applyAlignment="1" applyProtection="1">
      <alignment horizontal="center" vertical="center" wrapText="1"/>
      <protection locked="0"/>
    </xf>
    <xf numFmtId="0" fontId="6" fillId="15" borderId="1" xfId="0" applyFont="1" applyFill="1" applyBorder="1"/>
    <xf numFmtId="0" fontId="12" fillId="15" borderId="1" xfId="0" applyFont="1" applyFill="1" applyBorder="1"/>
    <xf numFmtId="0" fontId="0" fillId="15" borderId="0" xfId="0" applyFill="1"/>
    <xf numFmtId="168" fontId="42" fillId="15" borderId="1" xfId="0" applyNumberFormat="1" applyFont="1" applyFill="1" applyBorder="1" applyAlignment="1">
      <alignment vertical="center" wrapText="1"/>
    </xf>
    <xf numFmtId="0" fontId="13" fillId="3" borderId="0" xfId="0" applyFont="1" applyFill="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0" fillId="14" borderId="0" xfId="0" applyFont="1" applyFill="1" applyAlignment="1">
      <alignment horizontal="left"/>
    </xf>
    <xf numFmtId="0" fontId="12" fillId="15" borderId="11" xfId="0" applyFont="1" applyFill="1" applyBorder="1" applyAlignment="1">
      <alignment horizontal="center" vertical="center" wrapText="1"/>
    </xf>
    <xf numFmtId="0" fontId="75" fillId="15" borderId="0" xfId="0" applyFont="1" applyFill="1" applyBorder="1" applyAlignment="1" applyProtection="1">
      <alignment horizontal="left" vertical="top" wrapText="1"/>
    </xf>
    <xf numFmtId="0" fontId="20" fillId="14" borderId="9" xfId="0" applyFont="1" applyFill="1" applyBorder="1" applyAlignment="1">
      <alignment horizontal="left" vertical="center"/>
    </xf>
    <xf numFmtId="0" fontId="20" fillId="14" borderId="0" xfId="0" applyFont="1" applyFill="1" applyAlignment="1">
      <alignment horizontal="left" vertical="center"/>
    </xf>
    <xf numFmtId="0" fontId="20" fillId="14" borderId="0" xfId="0" applyFont="1" applyFill="1" applyBorder="1" applyAlignment="1">
      <alignment horizontal="left" vertical="center"/>
    </xf>
    <xf numFmtId="0" fontId="12" fillId="15" borderId="10" xfId="0" applyFont="1" applyFill="1" applyBorder="1" applyAlignment="1">
      <alignment horizontal="left" vertical="center" wrapText="1"/>
    </xf>
    <xf numFmtId="0" fontId="12" fillId="15" borderId="11" xfId="0" applyFont="1" applyFill="1" applyBorder="1" applyAlignment="1">
      <alignment horizontal="left" vertical="center" wrapText="1"/>
    </xf>
    <xf numFmtId="0" fontId="12" fillId="15" borderId="12" xfId="0" applyFont="1" applyFill="1" applyBorder="1" applyAlignment="1">
      <alignment horizontal="left" vertical="center" wrapText="1"/>
    </xf>
    <xf numFmtId="0" fontId="12" fillId="15" borderId="13" xfId="0" applyFont="1" applyFill="1" applyBorder="1" applyAlignment="1">
      <alignment horizontal="left" vertical="center" wrapText="1"/>
    </xf>
    <xf numFmtId="0" fontId="12" fillId="15" borderId="0" xfId="0" applyFont="1" applyFill="1" applyBorder="1" applyAlignment="1">
      <alignment horizontal="left" vertical="center" wrapText="1"/>
    </xf>
    <xf numFmtId="0" fontId="12" fillId="15" borderId="14" xfId="0" applyFont="1" applyFill="1" applyBorder="1" applyAlignment="1">
      <alignment horizontal="left" vertical="center" wrapText="1"/>
    </xf>
    <xf numFmtId="0" fontId="12" fillId="15" borderId="15" xfId="0" applyFont="1" applyFill="1" applyBorder="1" applyAlignment="1">
      <alignment horizontal="left" vertical="center" wrapText="1"/>
    </xf>
    <xf numFmtId="0" fontId="12" fillId="15" borderId="9" xfId="0" applyFont="1" applyFill="1" applyBorder="1" applyAlignment="1">
      <alignment horizontal="left" vertical="center" wrapText="1"/>
    </xf>
    <xf numFmtId="0" fontId="12" fillId="15" borderId="16" xfId="0" applyFont="1" applyFill="1" applyBorder="1" applyAlignment="1">
      <alignment horizontal="left" vertical="center" wrapText="1"/>
    </xf>
    <xf numFmtId="0" fontId="6" fillId="15" borderId="10" xfId="0" applyFont="1" applyFill="1" applyBorder="1" applyAlignment="1">
      <alignment horizontal="left" vertical="center" wrapText="1"/>
    </xf>
    <xf numFmtId="0" fontId="6" fillId="15" borderId="11" xfId="0" applyFont="1" applyFill="1" applyBorder="1" applyAlignment="1">
      <alignment horizontal="left" vertical="center" wrapText="1"/>
    </xf>
    <xf numFmtId="0" fontId="6" fillId="15" borderId="12" xfId="0" applyFont="1" applyFill="1" applyBorder="1" applyAlignment="1">
      <alignment horizontal="left" vertical="center" wrapText="1"/>
    </xf>
    <xf numFmtId="0" fontId="6" fillId="15" borderId="13" xfId="0" applyFont="1" applyFill="1" applyBorder="1" applyAlignment="1">
      <alignment horizontal="left" vertical="center" wrapText="1"/>
    </xf>
    <xf numFmtId="0" fontId="6" fillId="15" borderId="0" xfId="0" applyFont="1" applyFill="1" applyBorder="1" applyAlignment="1">
      <alignment horizontal="left" vertical="center" wrapText="1"/>
    </xf>
    <xf numFmtId="0" fontId="6" fillId="15" borderId="14" xfId="0" applyFont="1" applyFill="1" applyBorder="1" applyAlignment="1">
      <alignment horizontal="left" vertical="center" wrapText="1"/>
    </xf>
    <xf numFmtId="0" fontId="6" fillId="15" borderId="15" xfId="0" applyFont="1" applyFill="1" applyBorder="1" applyAlignment="1">
      <alignment horizontal="left" vertical="center" wrapText="1"/>
    </xf>
    <xf numFmtId="0" fontId="6" fillId="15" borderId="9" xfId="0" applyFont="1" applyFill="1" applyBorder="1" applyAlignment="1">
      <alignment horizontal="left" vertical="center" wrapText="1"/>
    </xf>
    <xf numFmtId="0" fontId="6" fillId="15" borderId="16" xfId="0" applyFont="1" applyFill="1" applyBorder="1" applyAlignment="1">
      <alignment horizontal="left" vertical="center" wrapText="1"/>
    </xf>
    <xf numFmtId="0" fontId="12" fillId="15" borderId="0" xfId="0" applyFont="1" applyFill="1" applyBorder="1" applyAlignment="1">
      <alignment horizontal="right" vertical="top" wrapText="1"/>
    </xf>
    <xf numFmtId="49" fontId="3" fillId="15" borderId="3" xfId="0" applyNumberFormat="1" applyFont="1" applyFill="1" applyBorder="1" applyAlignment="1" applyProtection="1">
      <alignment horizontal="center" vertical="center" wrapText="1"/>
      <protection locked="0"/>
    </xf>
    <xf numFmtId="49" fontId="3" fillId="15" borderId="4" xfId="0" applyNumberFormat="1" applyFont="1" applyFill="1" applyBorder="1" applyAlignment="1" applyProtection="1">
      <alignment horizontal="center" vertical="center" wrapText="1"/>
      <protection locked="0"/>
    </xf>
    <xf numFmtId="49" fontId="3" fillId="15" borderId="5" xfId="0" applyNumberFormat="1" applyFont="1" applyFill="1" applyBorder="1" applyAlignment="1" applyProtection="1">
      <alignment horizontal="center" vertical="center" wrapText="1"/>
      <protection locked="0"/>
    </xf>
    <xf numFmtId="0" fontId="22" fillId="15" borderId="0" xfId="0" applyFont="1" applyFill="1" applyBorder="1" applyAlignment="1">
      <alignment horizontal="center" vertical="center"/>
    </xf>
    <xf numFmtId="0" fontId="6" fillId="15" borderId="0" xfId="0" applyFont="1" applyFill="1" applyAlignment="1">
      <alignment horizontal="left" vertical="top" wrapText="1"/>
    </xf>
    <xf numFmtId="0" fontId="6" fillId="15" borderId="0" xfId="0" applyFont="1" applyFill="1" applyAlignment="1">
      <alignment horizontal="left" wrapText="1"/>
    </xf>
    <xf numFmtId="0" fontId="20" fillId="0" borderId="3" xfId="0" applyFont="1" applyFill="1" applyBorder="1" applyAlignment="1">
      <alignment horizontal="center" wrapText="1"/>
    </xf>
    <xf numFmtId="0" fontId="20" fillId="0" borderId="4" xfId="0" applyFont="1" applyFill="1" applyBorder="1" applyAlignment="1">
      <alignment horizontal="center" wrapText="1"/>
    </xf>
    <xf numFmtId="0" fontId="20" fillId="0" borderId="5" xfId="0" applyFont="1" applyFill="1" applyBorder="1" applyAlignment="1">
      <alignment horizontal="center" wrapText="1"/>
    </xf>
    <xf numFmtId="0" fontId="20" fillId="15" borderId="0" xfId="0" applyFont="1" applyFill="1" applyAlignment="1">
      <alignment horizontal="left" vertical="center"/>
    </xf>
    <xf numFmtId="0" fontId="6" fillId="15" borderId="3" xfId="0" applyFont="1" applyFill="1" applyBorder="1" applyAlignment="1" applyProtection="1">
      <alignment horizontal="center"/>
      <protection locked="0"/>
    </xf>
    <xf numFmtId="0" fontId="6" fillId="15" borderId="4" xfId="0" applyFont="1" applyFill="1" applyBorder="1" applyAlignment="1" applyProtection="1">
      <alignment horizontal="center"/>
      <protection locked="0"/>
    </xf>
    <xf numFmtId="0" fontId="6" fillId="15" borderId="5" xfId="0" applyFont="1" applyFill="1" applyBorder="1" applyAlignment="1" applyProtection="1">
      <alignment horizontal="center"/>
      <protection locked="0"/>
    </xf>
    <xf numFmtId="0" fontId="6" fillId="19" borderId="10" xfId="0" applyFont="1" applyFill="1" applyBorder="1" applyAlignment="1">
      <alignment horizontal="left" vertical="top" wrapText="1"/>
    </xf>
    <xf numFmtId="0" fontId="6" fillId="19" borderId="11" xfId="0" applyFont="1" applyFill="1" applyBorder="1" applyAlignment="1">
      <alignment horizontal="left" vertical="top" wrapText="1"/>
    </xf>
    <xf numFmtId="0" fontId="6" fillId="19" borderId="12" xfId="0" applyFont="1" applyFill="1" applyBorder="1" applyAlignment="1">
      <alignment horizontal="left" vertical="top" wrapText="1"/>
    </xf>
    <xf numFmtId="0" fontId="6" fillId="19" borderId="13" xfId="0" applyFont="1" applyFill="1" applyBorder="1" applyAlignment="1">
      <alignment horizontal="left" vertical="top" wrapText="1"/>
    </xf>
    <xf numFmtId="0" fontId="6" fillId="19" borderId="0" xfId="0" applyFont="1" applyFill="1" applyBorder="1" applyAlignment="1">
      <alignment horizontal="left" vertical="top" wrapText="1"/>
    </xf>
    <xf numFmtId="0" fontId="6" fillId="19" borderId="14" xfId="0" applyFont="1" applyFill="1" applyBorder="1" applyAlignment="1">
      <alignment horizontal="left" vertical="top" wrapText="1"/>
    </xf>
    <xf numFmtId="0" fontId="6" fillId="19" borderId="15" xfId="0" applyFont="1" applyFill="1" applyBorder="1" applyAlignment="1">
      <alignment horizontal="left" vertical="top" wrapText="1"/>
    </xf>
    <xf numFmtId="0" fontId="6" fillId="19" borderId="9" xfId="0" applyFont="1" applyFill="1" applyBorder="1" applyAlignment="1">
      <alignment horizontal="left" vertical="top" wrapText="1"/>
    </xf>
    <xf numFmtId="0" fontId="6" fillId="19" borderId="16" xfId="0" applyFont="1" applyFill="1" applyBorder="1" applyAlignment="1">
      <alignment horizontal="left" vertical="top" wrapText="1"/>
    </xf>
    <xf numFmtId="0" fontId="77" fillId="15" borderId="0" xfId="4" applyFont="1" applyFill="1" applyBorder="1" applyAlignment="1">
      <alignment horizontal="center" vertical="center"/>
    </xf>
    <xf numFmtId="0" fontId="6" fillId="15" borderId="3" xfId="0" applyFont="1" applyFill="1" applyBorder="1" applyAlignment="1" applyProtection="1">
      <alignment horizontal="center" vertical="center"/>
      <protection locked="0"/>
    </xf>
    <xf numFmtId="0" fontId="6" fillId="15" borderId="4" xfId="0" applyFont="1" applyFill="1" applyBorder="1" applyAlignment="1" applyProtection="1">
      <alignment horizontal="center" vertical="center"/>
      <protection locked="0"/>
    </xf>
    <xf numFmtId="0" fontId="6" fillId="15" borderId="5" xfId="0" applyFont="1" applyFill="1" applyBorder="1" applyAlignment="1" applyProtection="1">
      <alignment horizontal="center" vertical="center"/>
      <protection locked="0"/>
    </xf>
    <xf numFmtId="0" fontId="6" fillId="15" borderId="3" xfId="0" applyNumberFormat="1" applyFont="1" applyFill="1" applyBorder="1" applyAlignment="1" applyProtection="1">
      <alignment horizontal="center" vertical="center"/>
      <protection locked="0"/>
    </xf>
    <xf numFmtId="0" fontId="6" fillId="15" borderId="4" xfId="0" applyNumberFormat="1" applyFont="1" applyFill="1" applyBorder="1" applyAlignment="1" applyProtection="1">
      <alignment horizontal="center" vertical="center"/>
      <protection locked="0"/>
    </xf>
    <xf numFmtId="0" fontId="6" fillId="15" borderId="5" xfId="0" applyNumberFormat="1" applyFont="1" applyFill="1" applyBorder="1" applyAlignment="1" applyProtection="1">
      <alignment horizontal="center" vertical="center"/>
      <protection locked="0"/>
    </xf>
    <xf numFmtId="167" fontId="6" fillId="15" borderId="3" xfId="0" applyNumberFormat="1" applyFont="1" applyFill="1" applyBorder="1" applyAlignment="1" applyProtection="1">
      <alignment horizontal="center" vertical="center"/>
      <protection locked="0"/>
    </xf>
    <xf numFmtId="167" fontId="6" fillId="15" borderId="4" xfId="0" applyNumberFormat="1" applyFont="1" applyFill="1" applyBorder="1" applyAlignment="1" applyProtection="1">
      <alignment horizontal="center" vertical="center"/>
      <protection locked="0"/>
    </xf>
    <xf numFmtId="167" fontId="6" fillId="15" borderId="5" xfId="0" applyNumberFormat="1" applyFont="1" applyFill="1" applyBorder="1" applyAlignment="1" applyProtection="1">
      <alignment horizontal="center" vertical="center"/>
      <protection locked="0"/>
    </xf>
    <xf numFmtId="0" fontId="103" fillId="15" borderId="0" xfId="4" quotePrefix="1" applyFont="1" applyFill="1" applyAlignment="1">
      <alignment horizontal="center"/>
    </xf>
    <xf numFmtId="0" fontId="6" fillId="15" borderId="0" xfId="0" applyFont="1" applyFill="1" applyAlignment="1">
      <alignment horizontal="left"/>
    </xf>
    <xf numFmtId="0" fontId="6" fillId="15" borderId="85" xfId="0" applyFont="1" applyFill="1" applyBorder="1" applyAlignment="1">
      <alignment horizontal="left" vertical="center"/>
    </xf>
    <xf numFmtId="0" fontId="6" fillId="15" borderId="0" xfId="0" applyFont="1" applyFill="1" applyBorder="1" applyAlignment="1">
      <alignment horizontal="left" vertical="center"/>
    </xf>
    <xf numFmtId="0" fontId="6" fillId="15" borderId="3" xfId="0" quotePrefix="1" applyFont="1" applyFill="1" applyBorder="1" applyAlignment="1" applyProtection="1">
      <alignment horizontal="center" vertical="center"/>
      <protection locked="0"/>
    </xf>
    <xf numFmtId="0" fontId="6" fillId="15" borderId="10" xfId="0" applyFont="1" applyFill="1" applyBorder="1" applyAlignment="1" applyProtection="1">
      <alignment horizontal="left" vertical="top"/>
      <protection locked="0"/>
    </xf>
    <xf numFmtId="0" fontId="6" fillId="15" borderId="11" xfId="0" applyFont="1" applyFill="1" applyBorder="1" applyAlignment="1" applyProtection="1">
      <alignment horizontal="left" vertical="top"/>
      <protection locked="0"/>
    </xf>
    <xf numFmtId="0" fontId="6" fillId="15" borderId="12" xfId="0" applyFont="1" applyFill="1" applyBorder="1" applyAlignment="1" applyProtection="1">
      <alignment horizontal="left" vertical="top"/>
      <protection locked="0"/>
    </xf>
    <xf numFmtId="0" fontId="6" fillId="15" borderId="13" xfId="0" applyFont="1" applyFill="1" applyBorder="1" applyAlignment="1" applyProtection="1">
      <alignment horizontal="left" vertical="top"/>
      <protection locked="0"/>
    </xf>
    <xf numFmtId="0" fontId="6" fillId="15" borderId="0" xfId="0" applyFont="1" applyFill="1" applyBorder="1" applyAlignment="1" applyProtection="1">
      <alignment horizontal="left" vertical="top"/>
      <protection locked="0"/>
    </xf>
    <xf numFmtId="0" fontId="6" fillId="15" borderId="14" xfId="0" applyFont="1" applyFill="1" applyBorder="1" applyAlignment="1" applyProtection="1">
      <alignment horizontal="left" vertical="top"/>
      <protection locked="0"/>
    </xf>
    <xf numFmtId="0" fontId="6" fillId="15" borderId="15" xfId="0" applyFont="1" applyFill="1" applyBorder="1" applyAlignment="1" applyProtection="1">
      <alignment horizontal="left" vertical="top"/>
      <protection locked="0"/>
    </xf>
    <xf numFmtId="0" fontId="6" fillId="15" borderId="9" xfId="0" applyFont="1" applyFill="1" applyBorder="1" applyAlignment="1" applyProtection="1">
      <alignment horizontal="left" vertical="top"/>
      <protection locked="0"/>
    </xf>
    <xf numFmtId="0" fontId="6" fillId="15" borderId="16" xfId="0" applyFont="1" applyFill="1" applyBorder="1" applyAlignment="1" applyProtection="1">
      <alignment horizontal="left" vertical="top"/>
      <protection locked="0"/>
    </xf>
    <xf numFmtId="0" fontId="6" fillId="15" borderId="0" xfId="0" quotePrefix="1" applyFont="1" applyFill="1" applyAlignment="1">
      <alignment horizontal="left" vertical="top" wrapText="1"/>
    </xf>
    <xf numFmtId="0" fontId="107" fillId="15" borderId="0" xfId="4" quotePrefix="1" applyFont="1" applyFill="1" applyAlignment="1">
      <alignment horizontal="center" vertical="center" wrapText="1"/>
    </xf>
    <xf numFmtId="0" fontId="111" fillId="15" borderId="87" xfId="0" quotePrefix="1" applyFont="1" applyFill="1" applyBorder="1" applyAlignment="1">
      <alignment horizontal="center" wrapText="1"/>
    </xf>
    <xf numFmtId="0" fontId="103" fillId="15" borderId="0" xfId="4" applyFont="1" applyFill="1" applyAlignment="1">
      <alignment horizontal="center" vertical="center"/>
    </xf>
    <xf numFmtId="0" fontId="6" fillId="15" borderId="0" xfId="0" applyFont="1" applyFill="1" applyAlignment="1">
      <alignment horizontal="right"/>
    </xf>
    <xf numFmtId="0" fontId="18" fillId="15" borderId="0" xfId="4" applyFill="1" applyAlignment="1">
      <alignment horizontal="left"/>
    </xf>
    <xf numFmtId="0" fontId="46" fillId="15" borderId="0" xfId="0" applyFont="1" applyFill="1" applyAlignment="1">
      <alignment horizontal="left" vertical="center" wrapText="1"/>
    </xf>
    <xf numFmtId="0" fontId="102" fillId="15" borderId="0" xfId="0" applyFont="1" applyFill="1" applyAlignment="1">
      <alignment horizontal="left"/>
    </xf>
    <xf numFmtId="0" fontId="101" fillId="15" borderId="0" xfId="0" applyFont="1" applyFill="1" applyAlignment="1">
      <alignment horizontal="left"/>
    </xf>
    <xf numFmtId="0" fontId="103" fillId="15" borderId="0" xfId="4" applyFont="1" applyFill="1" applyAlignment="1">
      <alignment horizontal="center"/>
    </xf>
    <xf numFmtId="0" fontId="77" fillId="15" borderId="80" xfId="4" quotePrefix="1" applyFont="1" applyFill="1" applyBorder="1" applyAlignment="1">
      <alignment horizontal="center"/>
    </xf>
    <xf numFmtId="0" fontId="77" fillId="15" borderId="77" xfId="4" applyFont="1" applyFill="1" applyBorder="1" applyAlignment="1">
      <alignment horizontal="center" vertical="center"/>
    </xf>
    <xf numFmtId="0" fontId="77" fillId="15" borderId="78" xfId="4" applyFont="1" applyFill="1" applyBorder="1" applyAlignment="1">
      <alignment horizontal="center" vertical="center"/>
    </xf>
    <xf numFmtId="0" fontId="6" fillId="15" borderId="76" xfId="0" quotePrefix="1" applyFont="1" applyFill="1" applyBorder="1" applyAlignment="1">
      <alignment horizontal="left" vertical="center"/>
    </xf>
    <xf numFmtId="0" fontId="6" fillId="15" borderId="77" xfId="0" quotePrefix="1" applyFont="1" applyFill="1" applyBorder="1" applyAlignment="1">
      <alignment horizontal="left" vertical="center"/>
    </xf>
    <xf numFmtId="0" fontId="6" fillId="15" borderId="82" xfId="0" quotePrefix="1" applyFont="1" applyFill="1" applyBorder="1" applyAlignment="1">
      <alignment horizontal="left" vertical="center"/>
    </xf>
    <xf numFmtId="0" fontId="6" fillId="15" borderId="83" xfId="0" quotePrefix="1" applyFont="1" applyFill="1" applyBorder="1" applyAlignment="1">
      <alignment horizontal="left" vertical="center"/>
    </xf>
    <xf numFmtId="0" fontId="6" fillId="15" borderId="84" xfId="0" quotePrefix="1" applyFont="1" applyFill="1" applyBorder="1" applyAlignment="1">
      <alignment horizontal="left" vertical="center"/>
    </xf>
    <xf numFmtId="0" fontId="10" fillId="3" borderId="10" xfId="0" applyFont="1" applyFill="1" applyBorder="1" applyAlignment="1">
      <alignment horizontal="left" vertical="top" wrapText="1"/>
    </xf>
    <xf numFmtId="0" fontId="10" fillId="3" borderId="11" xfId="0" applyFont="1" applyFill="1" applyBorder="1" applyAlignment="1">
      <alignment horizontal="left" vertical="top" wrapText="1"/>
    </xf>
    <xf numFmtId="0" fontId="10" fillId="3" borderId="12" xfId="0" applyFont="1" applyFill="1" applyBorder="1" applyAlignment="1">
      <alignment horizontal="left" vertical="top" wrapText="1"/>
    </xf>
    <xf numFmtId="0" fontId="10" fillId="3" borderId="13" xfId="0" applyFont="1" applyFill="1" applyBorder="1" applyAlignment="1">
      <alignment horizontal="left" vertical="top" wrapText="1"/>
    </xf>
    <xf numFmtId="0" fontId="10" fillId="3" borderId="0" xfId="0" applyFont="1" applyFill="1" applyBorder="1" applyAlignment="1">
      <alignment horizontal="left" vertical="top" wrapText="1"/>
    </xf>
    <xf numFmtId="0" fontId="10" fillId="3" borderId="14" xfId="0" applyFont="1" applyFill="1" applyBorder="1" applyAlignment="1">
      <alignment horizontal="left" vertical="top" wrapText="1"/>
    </xf>
    <xf numFmtId="0" fontId="10" fillId="3" borderId="15" xfId="0" applyFont="1" applyFill="1" applyBorder="1" applyAlignment="1">
      <alignment horizontal="left" vertical="top" wrapText="1"/>
    </xf>
    <xf numFmtId="0" fontId="10" fillId="3" borderId="9" xfId="0" applyFont="1" applyFill="1" applyBorder="1" applyAlignment="1">
      <alignment horizontal="left" vertical="top" wrapText="1"/>
    </xf>
    <xf numFmtId="0" fontId="10" fillId="3" borderId="16" xfId="0" applyFont="1" applyFill="1" applyBorder="1" applyAlignment="1">
      <alignment horizontal="left" vertical="top" wrapText="1"/>
    </xf>
    <xf numFmtId="0" fontId="12" fillId="15" borderId="0" xfId="0" applyFont="1" applyFill="1" applyBorder="1" applyAlignment="1">
      <alignment horizontal="left" vertical="top" wrapText="1"/>
    </xf>
    <xf numFmtId="0" fontId="12" fillId="3" borderId="10" xfId="0" applyFont="1" applyFill="1" applyBorder="1" applyAlignment="1" applyProtection="1">
      <alignment horizontal="left" vertical="top" wrapText="1"/>
    </xf>
    <xf numFmtId="0" fontId="12" fillId="3" borderId="11" xfId="0" applyFont="1" applyFill="1" applyBorder="1" applyAlignment="1" applyProtection="1">
      <alignment horizontal="left" vertical="top" wrapText="1"/>
    </xf>
    <xf numFmtId="0" fontId="12" fillId="3" borderId="12" xfId="0" applyFont="1" applyFill="1" applyBorder="1" applyAlignment="1" applyProtection="1">
      <alignment horizontal="left" vertical="top" wrapText="1"/>
    </xf>
    <xf numFmtId="0" fontId="12" fillId="3" borderId="13" xfId="0" applyFont="1" applyFill="1" applyBorder="1" applyAlignment="1" applyProtection="1">
      <alignment horizontal="left" vertical="top" wrapText="1"/>
    </xf>
    <xf numFmtId="0" fontId="12" fillId="3" borderId="0" xfId="0" applyFont="1" applyFill="1" applyBorder="1" applyAlignment="1" applyProtection="1">
      <alignment horizontal="left" vertical="top" wrapText="1"/>
    </xf>
    <xf numFmtId="0" fontId="12" fillId="3" borderId="14" xfId="0" applyFont="1" applyFill="1" applyBorder="1" applyAlignment="1" applyProtection="1">
      <alignment horizontal="left" vertical="top" wrapText="1"/>
    </xf>
    <xf numFmtId="0" fontId="12" fillId="3" borderId="15" xfId="0" applyFont="1" applyFill="1" applyBorder="1" applyAlignment="1" applyProtection="1">
      <alignment horizontal="left" vertical="top" wrapText="1"/>
    </xf>
    <xf numFmtId="0" fontId="12" fillId="3" borderId="9" xfId="0" applyFont="1" applyFill="1" applyBorder="1" applyAlignment="1" applyProtection="1">
      <alignment horizontal="left" vertical="top" wrapText="1"/>
    </xf>
    <xf numFmtId="0" fontId="12" fillId="3" borderId="16" xfId="0" applyFont="1" applyFill="1" applyBorder="1" applyAlignment="1" applyProtection="1">
      <alignment horizontal="left" vertical="top" wrapText="1"/>
    </xf>
    <xf numFmtId="0" fontId="30" fillId="15" borderId="21" xfId="0" applyFont="1" applyFill="1" applyBorder="1" applyAlignment="1">
      <alignment horizontal="left" vertical="top"/>
    </xf>
    <xf numFmtId="0" fontId="6" fillId="0" borderId="19"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top" wrapText="1"/>
      <protection locked="0"/>
    </xf>
    <xf numFmtId="0" fontId="6" fillId="0" borderId="20" xfId="0" applyFont="1" applyFill="1" applyBorder="1" applyAlignment="1" applyProtection="1">
      <alignment horizontal="left" vertical="top" wrapText="1"/>
      <protection locked="0"/>
    </xf>
    <xf numFmtId="0" fontId="6" fillId="0" borderId="22"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18" xfId="0" applyFont="1" applyFill="1" applyBorder="1" applyAlignment="1" applyProtection="1">
      <alignment horizontal="left" vertical="top" wrapText="1"/>
      <protection locked="0"/>
    </xf>
    <xf numFmtId="0" fontId="6" fillId="0" borderId="3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40" xfId="0" applyFont="1" applyFill="1" applyBorder="1" applyAlignment="1" applyProtection="1">
      <alignment horizontal="left" vertical="top" wrapText="1"/>
      <protection locked="0"/>
    </xf>
    <xf numFmtId="0" fontId="6" fillId="15" borderId="3" xfId="0" applyFont="1" applyFill="1" applyBorder="1" applyAlignment="1" applyProtection="1">
      <alignment horizontal="left"/>
      <protection locked="0"/>
    </xf>
    <xf numFmtId="0" fontId="6" fillId="15" borderId="4" xfId="0" applyFont="1" applyFill="1" applyBorder="1" applyAlignment="1" applyProtection="1">
      <alignment horizontal="left"/>
      <protection locked="0"/>
    </xf>
    <xf numFmtId="0" fontId="6" fillId="15" borderId="5" xfId="0" applyFont="1" applyFill="1" applyBorder="1" applyAlignment="1" applyProtection="1">
      <alignment horizontal="left"/>
      <protection locked="0"/>
    </xf>
    <xf numFmtId="0" fontId="20" fillId="15" borderId="0" xfId="0" applyFont="1" applyFill="1" applyAlignment="1">
      <alignment horizontal="left" vertical="top" wrapText="1"/>
    </xf>
    <xf numFmtId="0" fontId="65" fillId="15" borderId="0" xfId="0" applyFont="1" applyFill="1" applyBorder="1" applyAlignment="1">
      <alignment horizontal="left" vertical="center" wrapText="1"/>
    </xf>
    <xf numFmtId="0" fontId="20" fillId="15" borderId="0" xfId="0" applyFont="1" applyFill="1" applyAlignment="1">
      <alignment horizontal="left" wrapText="1"/>
    </xf>
    <xf numFmtId="0" fontId="27" fillId="15" borderId="0" xfId="0" applyFont="1" applyFill="1" applyAlignment="1">
      <alignment horizontal="left" vertical="center" wrapText="1"/>
    </xf>
    <xf numFmtId="0" fontId="40" fillId="15" borderId="0" xfId="0" applyFont="1" applyFill="1" applyAlignment="1">
      <alignment horizontal="center"/>
    </xf>
    <xf numFmtId="0" fontId="33" fillId="15" borderId="0" xfId="0" applyFont="1" applyFill="1" applyAlignment="1">
      <alignment horizontal="center" wrapText="1"/>
    </xf>
    <xf numFmtId="0" fontId="59" fillId="15" borderId="0" xfId="0" applyFont="1" applyFill="1" applyAlignment="1">
      <alignment horizontal="center" vertical="center" wrapText="1"/>
    </xf>
    <xf numFmtId="0" fontId="40" fillId="0" borderId="0" xfId="0" applyFont="1" applyAlignment="1">
      <alignment horizontal="center" wrapText="1"/>
    </xf>
    <xf numFmtId="0" fontId="12" fillId="15" borderId="0" xfId="0" applyFont="1" applyFill="1" applyBorder="1" applyAlignment="1">
      <alignment horizontal="left"/>
    </xf>
    <xf numFmtId="0" fontId="12" fillId="15" borderId="18" xfId="0" applyFont="1" applyFill="1" applyBorder="1" applyAlignment="1">
      <alignment horizontal="left"/>
    </xf>
    <xf numFmtId="0" fontId="50" fillId="15" borderId="0" xfId="0" applyFont="1" applyFill="1" applyAlignment="1">
      <alignment horizontal="left" vertical="top"/>
    </xf>
    <xf numFmtId="0" fontId="6" fillId="15" borderId="0" xfId="0" applyFont="1" applyFill="1" applyAlignment="1">
      <alignment horizontal="left" vertical="top"/>
    </xf>
    <xf numFmtId="0" fontId="27" fillId="15" borderId="0" xfId="0" applyFont="1" applyFill="1" applyAlignment="1">
      <alignment horizontal="left" vertical="top" wrapText="1"/>
    </xf>
    <xf numFmtId="0" fontId="18" fillId="15" borderId="3" xfId="4" applyFill="1" applyBorder="1" applyAlignment="1" applyProtection="1">
      <alignment horizontal="center"/>
      <protection locked="0"/>
    </xf>
    <xf numFmtId="0" fontId="30" fillId="15" borderId="21" xfId="0" applyFont="1" applyFill="1" applyBorder="1" applyAlignment="1">
      <alignment horizontal="center"/>
    </xf>
    <xf numFmtId="0" fontId="45" fillId="15" borderId="11" xfId="0" applyFont="1" applyFill="1" applyBorder="1" applyAlignment="1">
      <alignment horizontal="center"/>
    </xf>
    <xf numFmtId="49" fontId="45" fillId="15" borderId="11" xfId="0" applyNumberFormat="1" applyFont="1" applyFill="1" applyBorder="1" applyAlignment="1">
      <alignment horizontal="center"/>
    </xf>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0" xfId="0" applyFont="1" applyBorder="1" applyAlignment="1">
      <alignment horizontal="left" wrapText="1"/>
    </xf>
    <xf numFmtId="0" fontId="6" fillId="0" borderId="14" xfId="0" applyFont="1" applyBorder="1" applyAlignment="1">
      <alignment horizontal="left" wrapText="1"/>
    </xf>
    <xf numFmtId="0" fontId="6" fillId="0" borderId="15" xfId="0" applyFont="1" applyBorder="1" applyAlignment="1">
      <alignment horizontal="left" wrapText="1"/>
    </xf>
    <xf numFmtId="0" fontId="6" fillId="0" borderId="9" xfId="0" applyFont="1" applyBorder="1" applyAlignment="1">
      <alignment horizontal="left" wrapText="1"/>
    </xf>
    <xf numFmtId="0" fontId="6" fillId="0" borderId="16"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0" xfId="0" applyFont="1" applyBorder="1" applyAlignment="1">
      <alignment horizontal="left" wrapText="1"/>
    </xf>
    <xf numFmtId="0" fontId="16" fillId="0" borderId="14" xfId="0" applyFont="1" applyBorder="1" applyAlignment="1">
      <alignment horizontal="left" wrapText="1"/>
    </xf>
    <xf numFmtId="0" fontId="16" fillId="0" borderId="15" xfId="0" applyFont="1" applyBorder="1" applyAlignment="1">
      <alignment horizontal="left" wrapText="1"/>
    </xf>
    <xf numFmtId="0" fontId="16" fillId="0" borderId="9" xfId="0" applyFont="1" applyBorder="1" applyAlignment="1">
      <alignment horizontal="left" wrapText="1"/>
    </xf>
    <xf numFmtId="0" fontId="16" fillId="0" borderId="16" xfId="0" applyFont="1" applyBorder="1" applyAlignment="1">
      <alignment horizontal="left" wrapText="1"/>
    </xf>
    <xf numFmtId="165" fontId="6" fillId="15" borderId="3" xfId="0" applyNumberFormat="1" applyFont="1" applyFill="1" applyBorder="1" applyAlignment="1" applyProtection="1">
      <alignment horizontal="center"/>
      <protection locked="0"/>
    </xf>
    <xf numFmtId="165" fontId="6" fillId="15" borderId="4" xfId="0" applyNumberFormat="1" applyFont="1" applyFill="1" applyBorder="1" applyAlignment="1" applyProtection="1">
      <alignment horizontal="center"/>
      <protection locked="0"/>
    </xf>
    <xf numFmtId="165" fontId="6" fillId="15" borderId="5" xfId="0" applyNumberFormat="1" applyFont="1" applyFill="1" applyBorder="1" applyAlignment="1" applyProtection="1">
      <alignment horizontal="center"/>
      <protection locked="0"/>
    </xf>
    <xf numFmtId="49" fontId="6" fillId="15" borderId="3" xfId="0" applyNumberFormat="1" applyFont="1" applyFill="1" applyBorder="1" applyAlignment="1" applyProtection="1">
      <alignment horizontal="center"/>
      <protection locked="0"/>
    </xf>
    <xf numFmtId="49" fontId="6" fillId="15" borderId="4" xfId="0" applyNumberFormat="1" applyFont="1" applyFill="1" applyBorder="1" applyAlignment="1" applyProtection="1">
      <alignment horizontal="center"/>
      <protection locked="0"/>
    </xf>
    <xf numFmtId="49" fontId="6" fillId="15" borderId="5" xfId="0" applyNumberFormat="1" applyFont="1" applyFill="1" applyBorder="1" applyAlignment="1" applyProtection="1">
      <alignment horizontal="center"/>
      <protection locked="0"/>
    </xf>
    <xf numFmtId="0" fontId="20" fillId="15" borderId="32" xfId="0" applyFont="1" applyFill="1" applyBorder="1" applyAlignment="1">
      <alignment horizontal="center" wrapText="1"/>
    </xf>
    <xf numFmtId="0" fontId="20" fillId="15" borderId="27" xfId="0" applyFont="1" applyFill="1" applyBorder="1" applyAlignment="1">
      <alignment horizontal="center" wrapText="1"/>
    </xf>
    <xf numFmtId="0" fontId="20" fillId="15" borderId="33" xfId="0" applyFont="1" applyFill="1" applyBorder="1" applyAlignment="1">
      <alignment horizontal="center" wrapText="1"/>
    </xf>
    <xf numFmtId="166" fontId="6" fillId="15" borderId="32" xfId="0" applyNumberFormat="1" applyFont="1" applyFill="1" applyBorder="1" applyAlignment="1">
      <alignment horizontal="center"/>
    </xf>
    <xf numFmtId="166" fontId="6" fillId="15" borderId="33" xfId="0" applyNumberFormat="1" applyFont="1" applyFill="1" applyBorder="1" applyAlignment="1">
      <alignment horizontal="center"/>
    </xf>
    <xf numFmtId="166" fontId="6" fillId="15" borderId="3" xfId="0" applyNumberFormat="1" applyFont="1" applyFill="1" applyBorder="1" applyAlignment="1">
      <alignment horizontal="center"/>
    </xf>
    <xf numFmtId="166" fontId="6" fillId="15" borderId="5" xfId="0" applyNumberFormat="1" applyFont="1" applyFill="1" applyBorder="1" applyAlignment="1">
      <alignment horizontal="center"/>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0" xfId="0" applyFont="1" applyBorder="1" applyAlignment="1">
      <alignment horizontal="left" vertical="center" wrapText="1"/>
    </xf>
    <xf numFmtId="0" fontId="6" fillId="0" borderId="14" xfId="0" applyFont="1" applyBorder="1" applyAlignment="1">
      <alignment horizontal="left" vertical="center" wrapText="1"/>
    </xf>
    <xf numFmtId="0" fontId="20" fillId="15" borderId="13" xfId="0" applyFont="1" applyFill="1" applyBorder="1" applyAlignment="1">
      <alignment horizontal="left" vertical="top" wrapText="1"/>
    </xf>
    <xf numFmtId="0" fontId="20" fillId="15" borderId="0" xfId="0" applyFont="1" applyFill="1" applyBorder="1" applyAlignment="1">
      <alignment horizontal="left" vertical="top" wrapText="1"/>
    </xf>
    <xf numFmtId="49" fontId="6" fillId="15" borderId="3" xfId="0" applyNumberFormat="1" applyFont="1" applyFill="1" applyBorder="1" applyAlignment="1" applyProtection="1">
      <alignment horizontal="center" vertical="center" wrapText="1"/>
      <protection locked="0"/>
    </xf>
    <xf numFmtId="49" fontId="6" fillId="15" borderId="5" xfId="0" applyNumberFormat="1" applyFont="1" applyFill="1" applyBorder="1" applyAlignment="1" applyProtection="1">
      <alignment horizontal="center" vertical="center" wrapText="1"/>
      <protection locked="0"/>
    </xf>
    <xf numFmtId="0" fontId="50" fillId="15" borderId="0" xfId="0" applyFont="1" applyFill="1" applyBorder="1" applyAlignment="1">
      <alignment horizontal="center" vertical="top" wrapText="1"/>
    </xf>
    <xf numFmtId="0" fontId="50" fillId="15" borderId="14" xfId="0" applyFont="1" applyFill="1" applyBorder="1" applyAlignment="1">
      <alignment horizontal="center" vertical="top" wrapText="1"/>
    </xf>
    <xf numFmtId="0" fontId="45" fillId="15" borderId="9" xfId="0" applyFont="1" applyFill="1" applyBorder="1" applyAlignment="1">
      <alignment horizontal="center"/>
    </xf>
    <xf numFmtId="49" fontId="6" fillId="0" borderId="45" xfId="0" applyNumberFormat="1" applyFont="1" applyFill="1" applyBorder="1" applyAlignment="1" applyProtection="1">
      <alignment horizontal="center"/>
      <protection locked="0"/>
    </xf>
    <xf numFmtId="49" fontId="6" fillId="0" borderId="46" xfId="0" applyNumberFormat="1" applyFont="1" applyFill="1" applyBorder="1" applyAlignment="1" applyProtection="1">
      <alignment horizontal="center"/>
      <protection locked="0"/>
    </xf>
    <xf numFmtId="49" fontId="6" fillId="3" borderId="46" xfId="0" quotePrefix="1" applyNumberFormat="1" applyFont="1" applyFill="1" applyBorder="1" applyAlignment="1">
      <alignment horizontal="center"/>
    </xf>
    <xf numFmtId="165" fontId="12" fillId="15" borderId="3" xfId="0" applyNumberFormat="1" applyFont="1" applyFill="1" applyBorder="1" applyAlignment="1" applyProtection="1">
      <alignment horizontal="center"/>
      <protection locked="0"/>
    </xf>
    <xf numFmtId="165" fontId="12" fillId="15" borderId="4" xfId="0" applyNumberFormat="1" applyFont="1" applyFill="1" applyBorder="1" applyAlignment="1" applyProtection="1">
      <alignment horizontal="center"/>
      <protection locked="0"/>
    </xf>
    <xf numFmtId="165" fontId="12" fillId="15" borderId="5" xfId="0" applyNumberFormat="1" applyFont="1" applyFill="1" applyBorder="1" applyAlignment="1" applyProtection="1">
      <alignment horizontal="center"/>
      <protection locked="0"/>
    </xf>
    <xf numFmtId="0" fontId="27" fillId="15" borderId="0" xfId="0" applyFont="1" applyFill="1" applyAlignment="1">
      <alignment horizontal="center" vertical="center" wrapText="1"/>
    </xf>
    <xf numFmtId="0" fontId="6" fillId="15" borderId="19" xfId="0" quotePrefix="1" applyFont="1" applyFill="1" applyBorder="1" applyAlignment="1" applyProtection="1">
      <alignment horizontal="center" vertical="center"/>
      <protection locked="0"/>
    </xf>
    <xf numFmtId="0" fontId="6" fillId="15" borderId="20" xfId="0" applyFont="1" applyFill="1" applyBorder="1" applyAlignment="1" applyProtection="1">
      <alignment horizontal="center" vertical="center"/>
      <protection locked="0"/>
    </xf>
    <xf numFmtId="0" fontId="6" fillId="15" borderId="39" xfId="0" applyFont="1" applyFill="1" applyBorder="1" applyAlignment="1" applyProtection="1">
      <alignment horizontal="center" vertical="center"/>
      <protection locked="0"/>
    </xf>
    <xf numFmtId="0" fontId="6" fillId="15" borderId="40" xfId="0" applyFont="1" applyFill="1" applyBorder="1" applyAlignment="1" applyProtection="1">
      <alignment horizontal="center" vertical="center"/>
      <protection locked="0"/>
    </xf>
    <xf numFmtId="0" fontId="30" fillId="15" borderId="0" xfId="0" applyFont="1" applyFill="1" applyAlignment="1" applyProtection="1">
      <alignment horizontal="left"/>
    </xf>
    <xf numFmtId="0" fontId="20" fillId="15" borderId="0" xfId="0" applyFont="1" applyFill="1" applyAlignment="1">
      <alignment horizontal="left" vertical="center" wrapText="1"/>
    </xf>
    <xf numFmtId="0" fontId="10" fillId="15" borderId="19" xfId="0" applyFont="1" applyFill="1" applyBorder="1" applyAlignment="1" applyProtection="1">
      <alignment horizontal="left" vertical="top" wrapText="1"/>
      <protection locked="0"/>
    </xf>
    <xf numFmtId="0" fontId="10" fillId="15" borderId="21" xfId="0" applyFont="1" applyFill="1" applyBorder="1" applyAlignment="1" applyProtection="1">
      <alignment horizontal="left" vertical="top" wrapText="1"/>
      <protection locked="0"/>
    </xf>
    <xf numFmtId="0" fontId="10" fillId="15" borderId="20" xfId="0" applyFont="1" applyFill="1" applyBorder="1" applyAlignment="1" applyProtection="1">
      <alignment horizontal="left" vertical="top" wrapText="1"/>
      <protection locked="0"/>
    </xf>
    <xf numFmtId="0" fontId="10" fillId="15" borderId="22" xfId="0" applyFont="1" applyFill="1" applyBorder="1" applyAlignment="1" applyProtection="1">
      <alignment horizontal="left" vertical="top" wrapText="1"/>
      <protection locked="0"/>
    </xf>
    <xf numFmtId="0" fontId="10" fillId="15" borderId="0" xfId="0" applyFont="1" applyFill="1" applyBorder="1" applyAlignment="1" applyProtection="1">
      <alignment horizontal="left" vertical="top" wrapText="1"/>
      <protection locked="0"/>
    </xf>
    <xf numFmtId="0" fontId="10" fillId="15" borderId="18" xfId="0" applyFont="1" applyFill="1" applyBorder="1" applyAlignment="1" applyProtection="1">
      <alignment horizontal="left" vertical="top" wrapText="1"/>
      <protection locked="0"/>
    </xf>
    <xf numFmtId="0" fontId="10" fillId="15" borderId="39" xfId="0" applyFont="1" applyFill="1" applyBorder="1" applyAlignment="1" applyProtection="1">
      <alignment horizontal="left" vertical="top" wrapText="1"/>
      <protection locked="0"/>
    </xf>
    <xf numFmtId="0" fontId="10" fillId="15" borderId="37" xfId="0" applyFont="1" applyFill="1" applyBorder="1" applyAlignment="1" applyProtection="1">
      <alignment horizontal="left" vertical="top" wrapText="1"/>
      <protection locked="0"/>
    </xf>
    <xf numFmtId="0" fontId="10" fillId="15" borderId="40" xfId="0" applyFont="1" applyFill="1" applyBorder="1" applyAlignment="1" applyProtection="1">
      <alignment horizontal="left" vertical="top" wrapText="1"/>
      <protection locked="0"/>
    </xf>
    <xf numFmtId="0" fontId="10" fillId="15" borderId="0" xfId="0" applyFont="1" applyFill="1" applyAlignment="1">
      <alignment horizontal="center" wrapText="1"/>
    </xf>
    <xf numFmtId="0" fontId="10" fillId="15" borderId="37" xfId="0" applyFont="1" applyFill="1" applyBorder="1" applyAlignment="1">
      <alignment horizontal="center" wrapText="1"/>
    </xf>
    <xf numFmtId="0" fontId="10" fillId="0" borderId="21" xfId="0" applyFont="1" applyFill="1" applyBorder="1" applyAlignment="1">
      <alignment horizontal="center" vertical="center" wrapText="1"/>
    </xf>
    <xf numFmtId="0" fontId="10" fillId="0" borderId="0" xfId="0" applyFont="1" applyFill="1" applyAlignment="1">
      <alignment horizontal="center" vertical="center" wrapText="1"/>
    </xf>
    <xf numFmtId="0" fontId="1" fillId="15" borderId="0" xfId="0" applyFont="1" applyFill="1" applyAlignment="1">
      <alignment horizontal="center"/>
    </xf>
    <xf numFmtId="0" fontId="12" fillId="15" borderId="0" xfId="0" applyFont="1" applyFill="1" applyAlignment="1">
      <alignment horizontal="left" vertical="top" wrapText="1"/>
    </xf>
    <xf numFmtId="0" fontId="18" fillId="15" borderId="0" xfId="4" applyFill="1" applyBorder="1" applyAlignment="1">
      <alignment horizontal="left" vertical="center"/>
    </xf>
    <xf numFmtId="0" fontId="20" fillId="15" borderId="32" xfId="0" applyFont="1" applyFill="1" applyBorder="1" applyAlignment="1">
      <alignment horizontal="left" wrapText="1"/>
    </xf>
    <xf numFmtId="0" fontId="20" fillId="15" borderId="27" xfId="0" applyFont="1" applyFill="1" applyBorder="1" applyAlignment="1">
      <alignment horizontal="left" wrapText="1"/>
    </xf>
    <xf numFmtId="0" fontId="20" fillId="15" borderId="33" xfId="0" applyFont="1" applyFill="1" applyBorder="1" applyAlignment="1">
      <alignment horizontal="left" wrapText="1"/>
    </xf>
    <xf numFmtId="0" fontId="20" fillId="15" borderId="32" xfId="0" applyFont="1" applyFill="1" applyBorder="1" applyAlignment="1">
      <alignment horizontal="left" vertical="top" wrapText="1"/>
    </xf>
    <xf numFmtId="0" fontId="20" fillId="15" borderId="27" xfId="0" applyFont="1" applyFill="1" applyBorder="1" applyAlignment="1">
      <alignment horizontal="left" vertical="top" wrapText="1"/>
    </xf>
    <xf numFmtId="0" fontId="20" fillId="15" borderId="33" xfId="0" applyFont="1" applyFill="1" applyBorder="1" applyAlignment="1">
      <alignment horizontal="left" vertical="top" wrapText="1"/>
    </xf>
    <xf numFmtId="0" fontId="12" fillId="15" borderId="0" xfId="0" applyFont="1" applyFill="1" applyAlignment="1">
      <alignment horizontal="left" vertical="center" wrapText="1"/>
    </xf>
    <xf numFmtId="0" fontId="32" fillId="15" borderId="0" xfId="0" applyFont="1" applyFill="1" applyBorder="1" applyAlignment="1">
      <alignment horizontal="center"/>
    </xf>
    <xf numFmtId="0" fontId="6" fillId="15" borderId="26" xfId="0" applyFont="1" applyFill="1" applyBorder="1" applyAlignment="1" applyProtection="1">
      <alignment horizontal="center"/>
      <protection locked="0"/>
    </xf>
    <xf numFmtId="0" fontId="6" fillId="15" borderId="27" xfId="0" applyFont="1" applyFill="1" applyBorder="1" applyAlignment="1" applyProtection="1">
      <alignment horizontal="center"/>
      <protection locked="0"/>
    </xf>
    <xf numFmtId="0" fontId="6" fillId="15" borderId="28" xfId="0" applyFont="1" applyFill="1" applyBorder="1" applyAlignment="1" applyProtection="1">
      <alignment horizontal="center"/>
      <protection locked="0"/>
    </xf>
    <xf numFmtId="0" fontId="20" fillId="15" borderId="26" xfId="0" applyFont="1" applyFill="1" applyBorder="1" applyAlignment="1" applyProtection="1">
      <alignment horizontal="center"/>
      <protection locked="0"/>
    </xf>
    <xf numFmtId="0" fontId="20" fillId="15" borderId="27" xfId="0" applyFont="1" applyFill="1" applyBorder="1" applyAlignment="1" applyProtection="1">
      <alignment horizontal="center"/>
      <protection locked="0"/>
    </xf>
    <xf numFmtId="0" fontId="20" fillId="15" borderId="28" xfId="0" applyFont="1" applyFill="1" applyBorder="1" applyAlignment="1" applyProtection="1">
      <alignment horizontal="center"/>
      <protection locked="0"/>
    </xf>
    <xf numFmtId="0" fontId="34" fillId="15" borderId="4" xfId="0" applyFont="1" applyFill="1" applyBorder="1" applyAlignment="1">
      <alignment horizontal="center"/>
    </xf>
    <xf numFmtId="0" fontId="30" fillId="15" borderId="0" xfId="0" applyFont="1" applyFill="1" applyBorder="1" applyAlignment="1">
      <alignment horizontal="center"/>
    </xf>
    <xf numFmtId="49" fontId="20" fillId="15" borderId="29" xfId="0" applyNumberFormat="1" applyFont="1" applyFill="1" applyBorder="1" applyAlignment="1" applyProtection="1">
      <alignment horizontal="center"/>
      <protection locked="0"/>
    </xf>
    <xf numFmtId="49" fontId="20" fillId="15" borderId="30" xfId="0" applyNumberFormat="1" applyFont="1" applyFill="1" applyBorder="1" applyAlignment="1" applyProtection="1">
      <alignment horizontal="center"/>
      <protection locked="0"/>
    </xf>
    <xf numFmtId="49" fontId="20" fillId="15" borderId="31" xfId="0" applyNumberFormat="1" applyFont="1" applyFill="1" applyBorder="1" applyAlignment="1" applyProtection="1">
      <alignment horizontal="center"/>
      <protection locked="0"/>
    </xf>
    <xf numFmtId="0" fontId="30" fillId="15" borderId="0" xfId="0" applyFont="1" applyFill="1" applyAlignment="1" applyProtection="1">
      <alignment horizontal="right"/>
    </xf>
    <xf numFmtId="0" fontId="107" fillId="15" borderId="0" xfId="4" applyFont="1" applyFill="1" applyAlignment="1" applyProtection="1">
      <alignment horizontal="left"/>
    </xf>
    <xf numFmtId="0" fontId="12" fillId="15" borderId="0" xfId="0" applyFont="1" applyFill="1" applyAlignment="1" applyProtection="1">
      <alignment horizontal="left" vertical="top" wrapText="1"/>
    </xf>
    <xf numFmtId="0" fontId="6" fillId="15" borderId="23" xfId="0" applyFont="1" applyFill="1" applyBorder="1" applyAlignment="1" applyProtection="1">
      <alignment horizontal="center"/>
      <protection locked="0"/>
    </xf>
    <xf numFmtId="0" fontId="6" fillId="15" borderId="24" xfId="0" applyFont="1" applyFill="1" applyBorder="1" applyAlignment="1" applyProtection="1">
      <alignment horizontal="center"/>
      <protection locked="0"/>
    </xf>
    <xf numFmtId="0" fontId="6" fillId="15" borderId="25" xfId="0" applyFont="1" applyFill="1" applyBorder="1" applyAlignment="1" applyProtection="1">
      <alignment horizontal="center"/>
      <protection locked="0"/>
    </xf>
    <xf numFmtId="0" fontId="6" fillId="0" borderId="26" xfId="0" applyFont="1" applyFill="1" applyBorder="1" applyAlignment="1" applyProtection="1">
      <alignment horizontal="center"/>
      <protection locked="0"/>
    </xf>
    <xf numFmtId="0" fontId="6" fillId="0" borderId="27" xfId="0" applyFont="1" applyFill="1" applyBorder="1" applyAlignment="1" applyProtection="1">
      <alignment horizontal="center"/>
      <protection locked="0"/>
    </xf>
    <xf numFmtId="0" fontId="6" fillId="0" borderId="28"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34" fillId="15" borderId="21" xfId="0" applyFont="1" applyFill="1" applyBorder="1" applyAlignment="1">
      <alignment horizontal="left"/>
    </xf>
    <xf numFmtId="0" fontId="6" fillId="0" borderId="23" xfId="0" applyFont="1" applyFill="1" applyBorder="1" applyAlignment="1">
      <alignment horizontal="center"/>
    </xf>
    <xf numFmtId="0" fontId="6" fillId="0" borderId="24" xfId="0" applyFont="1" applyFill="1" applyBorder="1" applyAlignment="1">
      <alignment horizontal="center"/>
    </xf>
    <xf numFmtId="0" fontId="6" fillId="0" borderId="25" xfId="0" applyFont="1" applyFill="1" applyBorder="1" applyAlignment="1">
      <alignment horizontal="center"/>
    </xf>
    <xf numFmtId="0" fontId="10" fillId="3" borderId="32" xfId="0" applyFont="1" applyFill="1" applyBorder="1" applyAlignment="1">
      <alignment horizontal="left" vertical="top" wrapText="1"/>
    </xf>
    <xf numFmtId="0" fontId="10" fillId="3" borderId="27" xfId="0" applyFont="1" applyFill="1" applyBorder="1" applyAlignment="1">
      <alignment horizontal="left" vertical="top" wrapText="1"/>
    </xf>
    <xf numFmtId="0" fontId="10" fillId="3" borderId="33" xfId="0" applyFont="1" applyFill="1" applyBorder="1" applyAlignment="1">
      <alignment horizontal="left" vertical="top" wrapText="1"/>
    </xf>
    <xf numFmtId="49" fontId="20" fillId="0" borderId="29" xfId="0" applyNumberFormat="1" applyFont="1" applyFill="1" applyBorder="1" applyAlignment="1" applyProtection="1">
      <alignment horizontal="center"/>
      <protection locked="0"/>
    </xf>
    <xf numFmtId="49" fontId="20" fillId="0" borderId="30" xfId="0" applyNumberFormat="1" applyFont="1" applyFill="1" applyBorder="1" applyAlignment="1" applyProtection="1">
      <alignment horizontal="center"/>
      <protection locked="0"/>
    </xf>
    <xf numFmtId="49" fontId="20" fillId="0" borderId="31" xfId="0" applyNumberFormat="1" applyFont="1" applyFill="1" applyBorder="1" applyAlignment="1" applyProtection="1">
      <alignment horizontal="center"/>
      <protection locked="0"/>
    </xf>
    <xf numFmtId="0" fontId="12" fillId="3" borderId="32" xfId="0" applyFont="1" applyFill="1" applyBorder="1" applyAlignment="1" applyProtection="1">
      <alignment horizontal="left" vertical="top" wrapText="1"/>
    </xf>
    <xf numFmtId="0" fontId="12" fillId="3" borderId="27" xfId="0" applyFont="1" applyFill="1" applyBorder="1" applyAlignment="1" applyProtection="1">
      <alignment horizontal="left" vertical="top" wrapText="1"/>
    </xf>
    <xf numFmtId="0" fontId="12" fillId="3" borderId="33" xfId="0" applyFont="1" applyFill="1" applyBorder="1" applyAlignment="1" applyProtection="1">
      <alignment horizontal="left" vertical="top" wrapText="1"/>
    </xf>
    <xf numFmtId="0" fontId="117" fillId="15" borderId="0" xfId="4" applyFont="1" applyFill="1" applyAlignment="1">
      <alignment horizontal="center"/>
    </xf>
    <xf numFmtId="0" fontId="9" fillId="15" borderId="0" xfId="0" applyFont="1" applyFill="1" applyAlignment="1">
      <alignment horizontal="center"/>
    </xf>
    <xf numFmtId="0" fontId="34" fillId="15" borderId="0" xfId="0" applyFont="1" applyFill="1" applyBorder="1" applyAlignment="1">
      <alignment horizontal="center"/>
    </xf>
    <xf numFmtId="0" fontId="0" fillId="15" borderId="6" xfId="0" applyFill="1" applyBorder="1" applyAlignment="1" applyProtection="1">
      <alignment horizontal="center" vertical="center" wrapText="1"/>
      <protection locked="0"/>
    </xf>
    <xf numFmtId="0" fontId="0" fillId="15" borderId="8" xfId="0" applyFill="1" applyBorder="1" applyAlignment="1" applyProtection="1">
      <alignment horizontal="center" vertical="center" wrapText="1"/>
      <protection locked="0"/>
    </xf>
    <xf numFmtId="0" fontId="37" fillId="15" borderId="0" xfId="0" applyFont="1" applyFill="1" applyAlignment="1">
      <alignment horizontal="center"/>
    </xf>
    <xf numFmtId="0" fontId="20" fillId="15" borderId="0" xfId="0" applyFont="1" applyFill="1" applyAlignment="1">
      <alignment horizontal="center" wrapText="1"/>
    </xf>
    <xf numFmtId="0" fontId="30" fillId="15" borderId="0" xfId="0" applyFont="1" applyFill="1" applyBorder="1" applyAlignment="1">
      <alignment horizontal="center" wrapText="1"/>
    </xf>
    <xf numFmtId="0" fontId="20" fillId="18" borderId="0" xfId="0" applyFont="1" applyFill="1" applyBorder="1" applyAlignment="1">
      <alignment horizontal="center" vertical="center"/>
    </xf>
    <xf numFmtId="0" fontId="20" fillId="15" borderId="0" xfId="0" applyFont="1" applyFill="1" applyAlignment="1" applyProtection="1">
      <alignment horizontal="left" wrapText="1"/>
    </xf>
    <xf numFmtId="0" fontId="99" fillId="15" borderId="0" xfId="4" applyFont="1" applyFill="1" applyAlignment="1" applyProtection="1">
      <alignment horizontal="center" vertical="center"/>
    </xf>
    <xf numFmtId="0" fontId="98" fillId="15" borderId="21" xfId="4" applyFont="1" applyFill="1" applyBorder="1" applyAlignment="1">
      <alignment horizontal="left"/>
    </xf>
    <xf numFmtId="0" fontId="98" fillId="15" borderId="20" xfId="4" applyFont="1" applyFill="1" applyBorder="1" applyAlignment="1">
      <alignment horizontal="left"/>
    </xf>
    <xf numFmtId="0" fontId="100" fillId="15" borderId="0" xfId="0" applyFont="1" applyFill="1" applyAlignment="1" applyProtection="1">
      <alignment horizontal="left"/>
    </xf>
    <xf numFmtId="0" fontId="6" fillId="15" borderId="0" xfId="0" applyFont="1" applyFill="1" applyAlignment="1">
      <alignment horizontal="center" wrapText="1"/>
    </xf>
    <xf numFmtId="0" fontId="88" fillId="15" borderId="0" xfId="0" applyFont="1" applyFill="1" applyAlignment="1" applyProtection="1">
      <alignment horizontal="center" vertical="center" wrapText="1"/>
    </xf>
    <xf numFmtId="0" fontId="6" fillId="3" borderId="0" xfId="0" quotePrefix="1" applyFont="1" applyFill="1" applyBorder="1" applyAlignment="1" applyProtection="1">
      <alignment horizontal="center"/>
    </xf>
    <xf numFmtId="0" fontId="6" fillId="3" borderId="0" xfId="0" applyFont="1" applyFill="1" applyBorder="1" applyAlignment="1" applyProtection="1">
      <alignment horizontal="center"/>
    </xf>
    <xf numFmtId="0" fontId="30" fillId="15" borderId="4" xfId="0" applyFont="1" applyFill="1" applyBorder="1" applyAlignment="1">
      <alignment horizontal="center"/>
    </xf>
    <xf numFmtId="0" fontId="10" fillId="3" borderId="10" xfId="0" applyFont="1" applyFill="1" applyBorder="1" applyAlignment="1" applyProtection="1">
      <alignment horizontal="left" vertical="top" wrapText="1"/>
    </xf>
    <xf numFmtId="0" fontId="10" fillId="3" borderId="11" xfId="0" applyFont="1" applyFill="1" applyBorder="1" applyAlignment="1" applyProtection="1">
      <alignment horizontal="left" vertical="top" wrapText="1"/>
    </xf>
    <xf numFmtId="0" fontId="10" fillId="3" borderId="12" xfId="0" applyFont="1" applyFill="1" applyBorder="1" applyAlignment="1" applyProtection="1">
      <alignment horizontal="left" vertical="top" wrapText="1"/>
    </xf>
    <xf numFmtId="0" fontId="10" fillId="3" borderId="13" xfId="0" applyFont="1" applyFill="1" applyBorder="1" applyAlignment="1" applyProtection="1">
      <alignment horizontal="left" vertical="top" wrapText="1"/>
    </xf>
    <xf numFmtId="0" fontId="10" fillId="3" borderId="0" xfId="0" applyFont="1" applyFill="1" applyBorder="1" applyAlignment="1" applyProtection="1">
      <alignment horizontal="left" vertical="top" wrapText="1"/>
    </xf>
    <xf numFmtId="0" fontId="10" fillId="3" borderId="14" xfId="0" applyFont="1" applyFill="1" applyBorder="1" applyAlignment="1" applyProtection="1">
      <alignment horizontal="left" vertical="top" wrapText="1"/>
    </xf>
    <xf numFmtId="0" fontId="10" fillId="3" borderId="15" xfId="0" applyFont="1" applyFill="1" applyBorder="1" applyAlignment="1" applyProtection="1">
      <alignment horizontal="left" vertical="top" wrapText="1"/>
    </xf>
    <xf numFmtId="0" fontId="10" fillId="3" borderId="9" xfId="0" applyFont="1" applyFill="1" applyBorder="1" applyAlignment="1" applyProtection="1">
      <alignment horizontal="left" vertical="top" wrapText="1"/>
    </xf>
    <xf numFmtId="0" fontId="10" fillId="3" borderId="16" xfId="0" applyFont="1" applyFill="1" applyBorder="1" applyAlignment="1" applyProtection="1">
      <alignment horizontal="left" vertical="top" wrapText="1"/>
    </xf>
    <xf numFmtId="167" fontId="45" fillId="3" borderId="0" xfId="0" applyNumberFormat="1" applyFont="1" applyFill="1" applyAlignment="1">
      <alignment horizontal="right"/>
    </xf>
    <xf numFmtId="0" fontId="19" fillId="15" borderId="0" xfId="0" applyFont="1" applyFill="1" applyAlignment="1">
      <alignment horizontal="left" vertical="center"/>
    </xf>
    <xf numFmtId="0" fontId="108" fillId="15" borderId="0" xfId="0" applyFont="1" applyFill="1" applyAlignment="1">
      <alignment horizontal="left" wrapText="1"/>
    </xf>
    <xf numFmtId="0" fontId="114" fillId="3" borderId="0" xfId="0" applyFont="1" applyFill="1" applyAlignment="1">
      <alignment horizontal="left" vertical="top" wrapText="1"/>
    </xf>
    <xf numFmtId="0" fontId="6" fillId="15" borderId="0" xfId="0" applyFont="1" applyFill="1" applyAlignment="1">
      <alignment horizontal="left" vertical="center" wrapText="1"/>
    </xf>
    <xf numFmtId="0" fontId="0" fillId="15" borderId="0" xfId="0" applyFill="1" applyAlignment="1">
      <alignment horizontal="right"/>
    </xf>
    <xf numFmtId="0" fontId="0" fillId="15" borderId="18" xfId="0" applyFill="1" applyBorder="1" applyAlignment="1">
      <alignment horizontal="right"/>
    </xf>
    <xf numFmtId="0" fontId="32" fillId="15" borderId="0" xfId="0" applyFont="1" applyFill="1" applyAlignment="1">
      <alignment horizontal="center"/>
    </xf>
    <xf numFmtId="0" fontId="27" fillId="15" borderId="0" xfId="0" applyFont="1" applyFill="1" applyAlignment="1">
      <alignment horizontal="left" wrapText="1"/>
    </xf>
    <xf numFmtId="0" fontId="6" fillId="15" borderId="19" xfId="0" applyFont="1" applyFill="1" applyBorder="1" applyAlignment="1" applyProtection="1">
      <alignment horizontal="center"/>
      <protection locked="0"/>
    </xf>
    <xf numFmtId="0" fontId="6" fillId="15" borderId="20" xfId="0" applyFont="1" applyFill="1" applyBorder="1" applyAlignment="1" applyProtection="1">
      <alignment horizontal="center"/>
      <protection locked="0"/>
    </xf>
    <xf numFmtId="0" fontId="20" fillId="15" borderId="0" xfId="0" applyFont="1" applyFill="1" applyBorder="1" applyAlignment="1">
      <alignment horizontal="left"/>
    </xf>
    <xf numFmtId="0" fontId="6" fillId="15" borderId="0" xfId="0" applyFont="1" applyFill="1" applyBorder="1" applyAlignment="1">
      <alignment horizontal="left"/>
    </xf>
    <xf numFmtId="0" fontId="14" fillId="13" borderId="0" xfId="0" applyFont="1" applyFill="1" applyBorder="1" applyAlignment="1">
      <alignment horizontal="center" vertical="center" wrapText="1"/>
    </xf>
    <xf numFmtId="0" fontId="6" fillId="15" borderId="0" xfId="0" applyFont="1" applyFill="1" applyBorder="1" applyAlignment="1">
      <alignment horizontal="center" vertical="center" wrapText="1"/>
    </xf>
    <xf numFmtId="0" fontId="18" fillId="15" borderId="0" xfId="4" applyFill="1" applyBorder="1" applyAlignment="1">
      <alignment horizontal="center"/>
    </xf>
    <xf numFmtId="0" fontId="20" fillId="15" borderId="0" xfId="0" applyFont="1" applyFill="1" applyBorder="1" applyAlignment="1">
      <alignment horizontal="left" wrapText="1"/>
    </xf>
    <xf numFmtId="0" fontId="20" fillId="15" borderId="0" xfId="0" applyFont="1" applyFill="1" applyBorder="1" applyAlignment="1">
      <alignment horizontal="left" vertical="center" wrapText="1"/>
    </xf>
    <xf numFmtId="0" fontId="18" fillId="15" borderId="0" xfId="4" applyFill="1" applyAlignment="1">
      <alignment horizontal="center"/>
    </xf>
    <xf numFmtId="0" fontId="68" fillId="15" borderId="0" xfId="0" applyFont="1" applyFill="1" applyAlignment="1">
      <alignment horizontal="center"/>
    </xf>
    <xf numFmtId="0" fontId="0" fillId="0" borderId="0" xfId="0" applyFill="1" applyAlignment="1">
      <alignment horizontal="center" wrapText="1"/>
    </xf>
    <xf numFmtId="0" fontId="10" fillId="15" borderId="0" xfId="0" applyFont="1" applyFill="1" applyAlignment="1">
      <alignment horizontal="left" wrapText="1"/>
    </xf>
    <xf numFmtId="0" fontId="49" fillId="15" borderId="0" xfId="0" applyFont="1" applyFill="1" applyAlignment="1">
      <alignment horizontal="center" vertical="center"/>
    </xf>
    <xf numFmtId="0" fontId="19" fillId="15" borderId="0" xfId="0" applyFont="1" applyFill="1" applyAlignment="1">
      <alignment horizontal="left"/>
    </xf>
    <xf numFmtId="0" fontId="18" fillId="15" borderId="0" xfId="4" applyFill="1"/>
    <xf numFmtId="0" fontId="0" fillId="15" borderId="0" xfId="0" applyFill="1"/>
    <xf numFmtId="0" fontId="18" fillId="15" borderId="0" xfId="4" applyFill="1" applyAlignment="1">
      <alignment horizontal="left" vertical="center"/>
    </xf>
    <xf numFmtId="0" fontId="43" fillId="15" borderId="19" xfId="0" applyFont="1" applyFill="1" applyBorder="1" applyAlignment="1">
      <alignment horizontal="center" vertical="center" wrapText="1"/>
    </xf>
    <xf numFmtId="0" fontId="43" fillId="15" borderId="21" xfId="0" applyFont="1" applyFill="1" applyBorder="1" applyAlignment="1">
      <alignment horizontal="center" vertical="center" wrapText="1"/>
    </xf>
    <xf numFmtId="0" fontId="43" fillId="15" borderId="20" xfId="0" applyFont="1" applyFill="1" applyBorder="1" applyAlignment="1">
      <alignment horizontal="center" vertical="center" wrapText="1"/>
    </xf>
    <xf numFmtId="0" fontId="43" fillId="15" borderId="22" xfId="0" applyFont="1" applyFill="1" applyBorder="1" applyAlignment="1">
      <alignment horizontal="center" vertical="center" wrapText="1"/>
    </xf>
    <xf numFmtId="0" fontId="43" fillId="15" borderId="0" xfId="0" applyFont="1" applyFill="1" applyBorder="1" applyAlignment="1">
      <alignment horizontal="center" vertical="center" wrapText="1"/>
    </xf>
    <xf numFmtId="0" fontId="43" fillId="15" borderId="18" xfId="0" applyFont="1" applyFill="1" applyBorder="1" applyAlignment="1">
      <alignment horizontal="center" vertical="center" wrapText="1"/>
    </xf>
    <xf numFmtId="0" fontId="43" fillId="15" borderId="39" xfId="0" applyFont="1" applyFill="1" applyBorder="1" applyAlignment="1">
      <alignment horizontal="center" vertical="center" wrapText="1"/>
    </xf>
    <xf numFmtId="0" fontId="43" fillId="15" borderId="37" xfId="0" applyFont="1" applyFill="1" applyBorder="1" applyAlignment="1">
      <alignment horizontal="center" vertical="center" wrapText="1"/>
    </xf>
    <xf numFmtId="0" fontId="43" fillId="15" borderId="40" xfId="0" applyFont="1" applyFill="1" applyBorder="1" applyAlignment="1">
      <alignment horizontal="center" vertical="center" wrapText="1"/>
    </xf>
    <xf numFmtId="0" fontId="6" fillId="0" borderId="3" xfId="0" applyFont="1" applyFill="1" applyBorder="1" applyAlignment="1" applyProtection="1">
      <alignment horizontal="center"/>
      <protection locked="0"/>
    </xf>
    <xf numFmtId="0" fontId="6" fillId="0" borderId="4" xfId="0" applyFont="1" applyFill="1" applyBorder="1" applyAlignment="1" applyProtection="1">
      <alignment horizontal="center"/>
      <protection locked="0"/>
    </xf>
    <xf numFmtId="0" fontId="6" fillId="0" borderId="5" xfId="0" applyFont="1" applyFill="1" applyBorder="1" applyAlignment="1" applyProtection="1">
      <alignment horizontal="center"/>
      <protection locked="0"/>
    </xf>
    <xf numFmtId="0" fontId="20" fillId="15" borderId="18" xfId="0" applyFont="1" applyFill="1" applyBorder="1" applyAlignment="1">
      <alignment horizontal="left"/>
    </xf>
    <xf numFmtId="164" fontId="6" fillId="15" borderId="3" xfId="0" applyNumberFormat="1" applyFont="1" applyFill="1" applyBorder="1" applyAlignment="1" applyProtection="1">
      <alignment horizontal="center"/>
      <protection locked="0"/>
    </xf>
    <xf numFmtId="164" fontId="6" fillId="15" borderId="5" xfId="0" applyNumberFormat="1" applyFont="1" applyFill="1" applyBorder="1" applyAlignment="1" applyProtection="1">
      <alignment horizontal="center"/>
      <protection locked="0"/>
    </xf>
    <xf numFmtId="164" fontId="6" fillId="15" borderId="4" xfId="0" applyNumberFormat="1" applyFont="1" applyFill="1" applyBorder="1" applyAlignment="1" applyProtection="1">
      <alignment horizontal="center"/>
      <protection locked="0"/>
    </xf>
    <xf numFmtId="0" fontId="6" fillId="15" borderId="19" xfId="0" applyFont="1" applyFill="1" applyBorder="1" applyAlignment="1" applyProtection="1">
      <alignment horizontal="left" vertical="top" wrapText="1"/>
      <protection locked="0"/>
    </xf>
    <xf numFmtId="0" fontId="6" fillId="15" borderId="21" xfId="0" applyFont="1" applyFill="1" applyBorder="1" applyAlignment="1" applyProtection="1">
      <alignment horizontal="left" vertical="top" wrapText="1"/>
      <protection locked="0"/>
    </xf>
    <xf numFmtId="0" fontId="6" fillId="15" borderId="20" xfId="0" applyFont="1" applyFill="1" applyBorder="1" applyAlignment="1" applyProtection="1">
      <alignment horizontal="left" vertical="top" wrapText="1"/>
      <protection locked="0"/>
    </xf>
    <xf numFmtId="0" fontId="6" fillId="15" borderId="39" xfId="0" applyFont="1" applyFill="1" applyBorder="1" applyAlignment="1" applyProtection="1">
      <alignment horizontal="left" vertical="top" wrapText="1"/>
      <protection locked="0"/>
    </xf>
    <xf numFmtId="0" fontId="6" fillId="15" borderId="37" xfId="0" applyFont="1" applyFill="1" applyBorder="1" applyAlignment="1" applyProtection="1">
      <alignment horizontal="left" vertical="top" wrapText="1"/>
      <protection locked="0"/>
    </xf>
    <xf numFmtId="0" fontId="6" fillId="15" borderId="40" xfId="0" applyFont="1" applyFill="1" applyBorder="1" applyAlignment="1" applyProtection="1">
      <alignment horizontal="left" vertical="top" wrapText="1"/>
      <protection locked="0"/>
    </xf>
    <xf numFmtId="168" fontId="20" fillId="15" borderId="3" xfId="0" applyNumberFormat="1" applyFont="1" applyFill="1" applyBorder="1" applyAlignment="1" applyProtection="1">
      <alignment horizontal="center" wrapText="1"/>
      <protection locked="0"/>
    </xf>
    <xf numFmtId="168" fontId="20" fillId="15" borderId="4" xfId="0" applyNumberFormat="1" applyFont="1" applyFill="1" applyBorder="1" applyAlignment="1" applyProtection="1">
      <alignment horizontal="center" wrapText="1"/>
      <protection locked="0"/>
    </xf>
    <xf numFmtId="168" fontId="20" fillId="15" borderId="5" xfId="0" applyNumberFormat="1" applyFont="1" applyFill="1" applyBorder="1" applyAlignment="1" applyProtection="1">
      <alignment horizontal="center" wrapText="1"/>
      <protection locked="0"/>
    </xf>
    <xf numFmtId="0" fontId="20" fillId="15" borderId="0" xfId="0" applyFont="1" applyFill="1" applyAlignment="1">
      <alignment horizontal="left"/>
    </xf>
    <xf numFmtId="0" fontId="50" fillId="15" borderId="0" xfId="0" applyFont="1" applyFill="1" applyBorder="1" applyAlignment="1">
      <alignment horizontal="center"/>
    </xf>
    <xf numFmtId="167" fontId="59" fillId="15" borderId="9" xfId="0" applyNumberFormat="1" applyFont="1" applyFill="1" applyBorder="1" applyAlignment="1">
      <alignment horizontal="right"/>
    </xf>
    <xf numFmtId="0" fontId="10" fillId="15" borderId="9" xfId="0" applyFont="1" applyFill="1" applyBorder="1" applyAlignment="1">
      <alignment horizontal="center"/>
    </xf>
    <xf numFmtId="0" fontId="59" fillId="15" borderId="0" xfId="0" applyFont="1" applyFill="1" applyAlignment="1" applyProtection="1">
      <alignment horizontal="left" vertical="center" wrapText="1"/>
    </xf>
    <xf numFmtId="0" fontId="12" fillId="15" borderId="0" xfId="0" applyFont="1" applyFill="1" applyBorder="1" applyAlignment="1" applyProtection="1">
      <alignment horizontal="left" vertical="top" wrapText="1"/>
    </xf>
    <xf numFmtId="0" fontId="10" fillId="0" borderId="6"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6" fillId="15" borderId="22" xfId="0" applyFont="1" applyFill="1" applyBorder="1" applyAlignment="1" applyProtection="1">
      <alignment horizontal="left" vertical="top" wrapText="1"/>
      <protection locked="0"/>
    </xf>
    <xf numFmtId="0" fontId="6" fillId="15" borderId="0" xfId="0" applyFont="1" applyFill="1" applyBorder="1" applyAlignment="1" applyProtection="1">
      <alignment horizontal="left" vertical="top" wrapText="1"/>
      <protection locked="0"/>
    </xf>
    <xf numFmtId="0" fontId="6" fillId="15" borderId="18" xfId="0" applyFont="1" applyFill="1" applyBorder="1" applyAlignment="1" applyProtection="1">
      <alignment horizontal="left" vertical="top" wrapText="1"/>
      <protection locked="0"/>
    </xf>
    <xf numFmtId="0" fontId="18" fillId="0" borderId="0" xfId="4"/>
    <xf numFmtId="0" fontId="40" fillId="15" borderId="19" xfId="0" applyFont="1" applyFill="1" applyBorder="1" applyAlignment="1">
      <alignment horizontal="center" vertical="center" wrapText="1"/>
    </xf>
    <xf numFmtId="0" fontId="40" fillId="15" borderId="21" xfId="0" applyFont="1" applyFill="1" applyBorder="1" applyAlignment="1">
      <alignment horizontal="center" vertical="center" wrapText="1"/>
    </xf>
    <xf numFmtId="0" fontId="40" fillId="15" borderId="20" xfId="0" applyFont="1" applyFill="1" applyBorder="1" applyAlignment="1">
      <alignment horizontal="center" vertical="center" wrapText="1"/>
    </xf>
    <xf numFmtId="0" fontId="40" fillId="15" borderId="22" xfId="0" applyFont="1" applyFill="1" applyBorder="1" applyAlignment="1">
      <alignment horizontal="center" vertical="center" wrapText="1"/>
    </xf>
    <xf numFmtId="0" fontId="40" fillId="15" borderId="0" xfId="0" applyFont="1" applyFill="1" applyBorder="1" applyAlignment="1">
      <alignment horizontal="center" vertical="center" wrapText="1"/>
    </xf>
    <xf numFmtId="0" fontId="40" fillId="15" borderId="18" xfId="0" applyFont="1" applyFill="1" applyBorder="1" applyAlignment="1">
      <alignment horizontal="center" vertical="center" wrapText="1"/>
    </xf>
    <xf numFmtId="0" fontId="40" fillId="15" borderId="39" xfId="0" applyFont="1" applyFill="1" applyBorder="1" applyAlignment="1">
      <alignment horizontal="center" vertical="center" wrapText="1"/>
    </xf>
    <xf numFmtId="0" fontId="40" fillId="15" borderId="37" xfId="0" applyFont="1" applyFill="1" applyBorder="1" applyAlignment="1">
      <alignment horizontal="center" vertical="center" wrapText="1"/>
    </xf>
    <xf numFmtId="0" fontId="40" fillId="15" borderId="40" xfId="0" applyFont="1" applyFill="1" applyBorder="1" applyAlignment="1">
      <alignment horizontal="center" vertical="center" wrapText="1"/>
    </xf>
    <xf numFmtId="0" fontId="3" fillId="15" borderId="3" xfId="0" applyFont="1" applyFill="1" applyBorder="1" applyAlignment="1" applyProtection="1">
      <alignment horizontal="left" vertical="top" wrapText="1"/>
      <protection locked="0"/>
    </xf>
    <xf numFmtId="0" fontId="3" fillId="15" borderId="4" xfId="0" applyFont="1" applyFill="1" applyBorder="1" applyAlignment="1" applyProtection="1">
      <alignment horizontal="left" vertical="top" wrapText="1"/>
      <protection locked="0"/>
    </xf>
    <xf numFmtId="0" fontId="3" fillId="15" borderId="5" xfId="0" applyFont="1" applyFill="1" applyBorder="1" applyAlignment="1" applyProtection="1">
      <alignment horizontal="left" vertical="top" wrapText="1"/>
      <protection locked="0"/>
    </xf>
    <xf numFmtId="0" fontId="66" fillId="15" borderId="0" xfId="0" applyFont="1" applyFill="1" applyAlignment="1">
      <alignment horizontal="left" vertical="top"/>
    </xf>
    <xf numFmtId="0" fontId="59" fillId="15" borderId="0" xfId="0" quotePrefix="1" applyFont="1" applyFill="1" applyBorder="1" applyAlignment="1" applyProtection="1">
      <alignment horizontal="left" vertical="top" wrapText="1"/>
    </xf>
    <xf numFmtId="0" fontId="12" fillId="15" borderId="0" xfId="0" quotePrefix="1" applyFont="1" applyFill="1" applyBorder="1" applyAlignment="1" applyProtection="1">
      <alignment horizontal="left" vertical="top" wrapText="1"/>
    </xf>
    <xf numFmtId="0" fontId="81" fillId="15" borderId="0" xfId="4" quotePrefix="1" applyFont="1" applyFill="1" applyBorder="1" applyAlignment="1" applyProtection="1">
      <alignment horizontal="center" vertical="center" wrapText="1"/>
    </xf>
    <xf numFmtId="0" fontId="82" fillId="15" borderId="0" xfId="4" quotePrefix="1" applyFont="1" applyFill="1" applyBorder="1" applyAlignment="1" applyProtection="1">
      <alignment horizontal="center" vertical="center" wrapText="1"/>
    </xf>
    <xf numFmtId="0" fontId="84" fillId="15" borderId="0" xfId="0" applyFont="1" applyFill="1" applyBorder="1" applyAlignment="1" applyProtection="1">
      <alignment horizontal="center" vertical="center" wrapText="1"/>
    </xf>
    <xf numFmtId="0" fontId="110" fillId="15" borderId="0" xfId="0" applyFont="1" applyFill="1" applyBorder="1" applyAlignment="1">
      <alignment horizontal="center" vertical="center" wrapText="1"/>
    </xf>
    <xf numFmtId="0" fontId="110" fillId="15" borderId="9" xfId="0" applyFont="1" applyFill="1" applyBorder="1" applyAlignment="1">
      <alignment horizontal="center" vertical="center" wrapText="1"/>
    </xf>
    <xf numFmtId="0" fontId="6" fillId="15" borderId="0" xfId="0" applyFont="1" applyFill="1" applyBorder="1" applyAlignment="1">
      <alignment horizontal="right"/>
    </xf>
    <xf numFmtId="0" fontId="18" fillId="15" borderId="21" xfId="4" applyFill="1" applyBorder="1" applyAlignment="1">
      <alignment horizontal="center"/>
    </xf>
    <xf numFmtId="0" fontId="27" fillId="15" borderId="18" xfId="0" applyFont="1" applyFill="1" applyBorder="1" applyAlignment="1">
      <alignment horizontal="left" vertical="center" wrapText="1"/>
    </xf>
    <xf numFmtId="0" fontId="6" fillId="15" borderId="6" xfId="0" applyFont="1" applyFill="1" applyBorder="1" applyAlignment="1" applyProtection="1">
      <alignment horizontal="center" vertical="center"/>
      <protection locked="0"/>
    </xf>
    <xf numFmtId="0" fontId="6" fillId="15" borderId="7" xfId="0" applyFont="1" applyFill="1" applyBorder="1" applyAlignment="1" applyProtection="1">
      <alignment horizontal="center" vertical="center"/>
      <protection locked="0"/>
    </xf>
    <xf numFmtId="0" fontId="6" fillId="15" borderId="8" xfId="0" applyFont="1" applyFill="1" applyBorder="1" applyAlignment="1" applyProtection="1">
      <alignment horizontal="center" vertical="center"/>
      <protection locked="0"/>
    </xf>
    <xf numFmtId="0" fontId="12" fillId="15" borderId="6" xfId="0" quotePrefix="1" applyFont="1" applyFill="1" applyBorder="1" applyAlignment="1" applyProtection="1">
      <alignment horizontal="center" vertical="center"/>
      <protection locked="0"/>
    </xf>
    <xf numFmtId="0" fontId="12" fillId="15" borderId="8" xfId="0" quotePrefix="1" applyFont="1" applyFill="1" applyBorder="1" applyAlignment="1" applyProtection="1">
      <alignment horizontal="center" vertical="center"/>
      <protection locked="0"/>
    </xf>
    <xf numFmtId="0" fontId="6" fillId="3" borderId="10" xfId="0" applyFont="1" applyFill="1" applyBorder="1" applyAlignment="1" applyProtection="1">
      <alignment horizontal="left" vertical="top" wrapText="1"/>
    </xf>
    <xf numFmtId="0" fontId="6" fillId="3" borderId="11" xfId="0" applyFont="1" applyFill="1" applyBorder="1" applyAlignment="1" applyProtection="1">
      <alignment horizontal="left" vertical="top" wrapText="1"/>
    </xf>
    <xf numFmtId="0" fontId="6" fillId="3" borderId="12" xfId="0" applyFont="1" applyFill="1" applyBorder="1" applyAlignment="1" applyProtection="1">
      <alignment horizontal="left" vertical="top" wrapText="1"/>
    </xf>
    <xf numFmtId="0" fontId="6" fillId="3" borderId="13"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14" xfId="0" applyFont="1" applyFill="1" applyBorder="1" applyAlignment="1" applyProtection="1">
      <alignment horizontal="left" vertical="top" wrapText="1"/>
    </xf>
    <xf numFmtId="0" fontId="6" fillId="3" borderId="15" xfId="0" applyFont="1" applyFill="1" applyBorder="1" applyAlignment="1" applyProtection="1">
      <alignment horizontal="left" vertical="top" wrapText="1"/>
    </xf>
    <xf numFmtId="0" fontId="6" fillId="3" borderId="9" xfId="0" applyFont="1" applyFill="1" applyBorder="1" applyAlignment="1" applyProtection="1">
      <alignment horizontal="left" vertical="top" wrapText="1"/>
    </xf>
    <xf numFmtId="0" fontId="6" fillId="3" borderId="16" xfId="0" applyFont="1" applyFill="1" applyBorder="1" applyAlignment="1" applyProtection="1">
      <alignment horizontal="left" vertical="top" wrapText="1"/>
    </xf>
    <xf numFmtId="0" fontId="6" fillId="15" borderId="0" xfId="0" applyFont="1" applyFill="1" applyBorder="1" applyAlignment="1">
      <alignment horizontal="left" vertical="top" wrapText="1"/>
    </xf>
    <xf numFmtId="0" fontId="10" fillId="15" borderId="6" xfId="0" applyFont="1" applyFill="1" applyBorder="1" applyAlignment="1" applyProtection="1">
      <alignment horizontal="center" vertical="center"/>
      <protection locked="0"/>
    </xf>
    <xf numFmtId="0" fontId="10" fillId="15" borderId="8" xfId="0" applyFont="1" applyFill="1" applyBorder="1" applyAlignment="1" applyProtection="1">
      <alignment horizontal="center" vertical="center"/>
      <protection locked="0"/>
    </xf>
    <xf numFmtId="0" fontId="32" fillId="15" borderId="0" xfId="0" quotePrefix="1" applyFont="1" applyFill="1" applyBorder="1" applyAlignment="1">
      <alignment horizontal="center"/>
    </xf>
    <xf numFmtId="0" fontId="73" fillId="3" borderId="59" xfId="0" applyNumberFormat="1" applyFont="1" applyFill="1" applyBorder="1" applyAlignment="1" applyProtection="1">
      <alignment horizontal="center"/>
    </xf>
    <xf numFmtId="0" fontId="73" fillId="3" borderId="63" xfId="0" applyNumberFormat="1" applyFont="1" applyFill="1" applyBorder="1" applyAlignment="1" applyProtection="1">
      <alignment horizontal="center"/>
    </xf>
    <xf numFmtId="0" fontId="73" fillId="3" borderId="60" xfId="0" applyNumberFormat="1" applyFont="1" applyFill="1" applyBorder="1" applyAlignment="1" applyProtection="1">
      <alignment horizontal="center"/>
    </xf>
    <xf numFmtId="165" fontId="73" fillId="3" borderId="59" xfId="0" applyNumberFormat="1" applyFont="1" applyFill="1" applyBorder="1" applyAlignment="1" applyProtection="1">
      <alignment horizontal="center"/>
    </xf>
    <xf numFmtId="165" fontId="73" fillId="3" borderId="63" xfId="0" applyNumberFormat="1" applyFont="1" applyFill="1" applyBorder="1" applyAlignment="1" applyProtection="1">
      <alignment horizontal="center"/>
    </xf>
    <xf numFmtId="165" fontId="73" fillId="3" borderId="60" xfId="0" applyNumberFormat="1" applyFont="1" applyFill="1" applyBorder="1" applyAlignment="1" applyProtection="1">
      <alignment horizontal="center"/>
    </xf>
    <xf numFmtId="0" fontId="16" fillId="3" borderId="10" xfId="0" applyFont="1" applyFill="1" applyBorder="1" applyAlignment="1">
      <alignment horizontal="left" vertical="center" wrapText="1"/>
    </xf>
    <xf numFmtId="0" fontId="16" fillId="3" borderId="11"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80" fillId="15" borderId="10" xfId="0" applyFont="1" applyFill="1" applyBorder="1" applyAlignment="1" applyProtection="1">
      <alignment horizontal="left" vertical="top" wrapText="1"/>
      <protection locked="0"/>
    </xf>
    <xf numFmtId="0" fontId="80" fillId="15" borderId="11" xfId="0" applyFont="1" applyFill="1" applyBorder="1" applyAlignment="1" applyProtection="1">
      <alignment horizontal="left" vertical="top" wrapText="1"/>
      <protection locked="0"/>
    </xf>
    <xf numFmtId="0" fontId="80" fillId="15" borderId="12" xfId="0" applyFont="1" applyFill="1" applyBorder="1" applyAlignment="1" applyProtection="1">
      <alignment horizontal="left" vertical="top" wrapText="1"/>
      <protection locked="0"/>
    </xf>
    <xf numFmtId="0" fontId="80" fillId="15" borderId="13" xfId="0" applyFont="1" applyFill="1" applyBorder="1" applyAlignment="1" applyProtection="1">
      <alignment horizontal="left" vertical="top" wrapText="1"/>
      <protection locked="0"/>
    </xf>
    <xf numFmtId="0" fontId="80" fillId="15" borderId="0" xfId="0" applyFont="1" applyFill="1" applyBorder="1" applyAlignment="1" applyProtection="1">
      <alignment horizontal="left" vertical="top" wrapText="1"/>
      <protection locked="0"/>
    </xf>
    <xf numFmtId="0" fontId="80" fillId="15" borderId="14" xfId="0" applyFont="1" applyFill="1" applyBorder="1" applyAlignment="1" applyProtection="1">
      <alignment horizontal="left" vertical="top" wrapText="1"/>
      <protection locked="0"/>
    </xf>
    <xf numFmtId="0" fontId="80" fillId="15" borderId="15" xfId="0" applyFont="1" applyFill="1" applyBorder="1" applyAlignment="1" applyProtection="1">
      <alignment horizontal="left" vertical="top" wrapText="1"/>
      <protection locked="0"/>
    </xf>
    <xf numFmtId="0" fontId="80" fillId="15" borderId="9" xfId="0" applyFont="1" applyFill="1" applyBorder="1" applyAlignment="1" applyProtection="1">
      <alignment horizontal="left" vertical="top" wrapText="1"/>
      <protection locked="0"/>
    </xf>
    <xf numFmtId="0" fontId="80" fillId="15" borderId="16" xfId="0" applyFont="1" applyFill="1" applyBorder="1" applyAlignment="1" applyProtection="1">
      <alignment horizontal="left" vertical="top" wrapText="1"/>
      <protection locked="0"/>
    </xf>
    <xf numFmtId="0" fontId="6" fillId="15" borderId="0" xfId="0" applyFont="1" applyFill="1" applyAlignment="1">
      <alignment horizontal="left" vertical="center"/>
    </xf>
    <xf numFmtId="0" fontId="6" fillId="15" borderId="0" xfId="0" applyFont="1" applyFill="1" applyBorder="1" applyAlignment="1">
      <alignment horizontal="left" wrapText="1"/>
    </xf>
    <xf numFmtId="0" fontId="6" fillId="15" borderId="18" xfId="0" applyFont="1" applyFill="1" applyBorder="1" applyAlignment="1">
      <alignment horizontal="left" wrapText="1"/>
    </xf>
    <xf numFmtId="0" fontId="19" fillId="15" borderId="10" xfId="0" applyFont="1" applyFill="1" applyBorder="1" applyAlignment="1" applyProtection="1">
      <alignment horizontal="left" vertical="top" wrapText="1"/>
      <protection locked="0"/>
    </xf>
    <xf numFmtId="0" fontId="19" fillId="15" borderId="11" xfId="0" applyFont="1" applyFill="1" applyBorder="1" applyAlignment="1" applyProtection="1">
      <alignment horizontal="left" vertical="top" wrapText="1"/>
      <protection locked="0"/>
    </xf>
    <xf numFmtId="0" fontId="19" fillId="15" borderId="12" xfId="0" applyFont="1" applyFill="1" applyBorder="1" applyAlignment="1" applyProtection="1">
      <alignment horizontal="left" vertical="top" wrapText="1"/>
      <protection locked="0"/>
    </xf>
    <xf numFmtId="0" fontId="19" fillId="15" borderId="13" xfId="0" applyFont="1" applyFill="1" applyBorder="1" applyAlignment="1" applyProtection="1">
      <alignment horizontal="left" vertical="top" wrapText="1"/>
      <protection locked="0"/>
    </xf>
    <xf numFmtId="0" fontId="19" fillId="15" borderId="0" xfId="0" applyFont="1" applyFill="1" applyBorder="1" applyAlignment="1" applyProtection="1">
      <alignment horizontal="left" vertical="top" wrapText="1"/>
      <protection locked="0"/>
    </xf>
    <xf numFmtId="0" fontId="19" fillId="15" borderId="14" xfId="0" applyFont="1" applyFill="1" applyBorder="1" applyAlignment="1" applyProtection="1">
      <alignment horizontal="left" vertical="top" wrapText="1"/>
      <protection locked="0"/>
    </xf>
    <xf numFmtId="0" fontId="19" fillId="15" borderId="15" xfId="0" applyFont="1" applyFill="1" applyBorder="1" applyAlignment="1" applyProtection="1">
      <alignment horizontal="left" vertical="top" wrapText="1"/>
      <protection locked="0"/>
    </xf>
    <xf numFmtId="0" fontId="19" fillId="15" borderId="9" xfId="0" applyFont="1" applyFill="1" applyBorder="1" applyAlignment="1" applyProtection="1">
      <alignment horizontal="left" vertical="top" wrapText="1"/>
      <protection locked="0"/>
    </xf>
    <xf numFmtId="0" fontId="19" fillId="15" borderId="16" xfId="0" applyFont="1" applyFill="1" applyBorder="1" applyAlignment="1" applyProtection="1">
      <alignment horizontal="left" vertical="top" wrapText="1"/>
      <protection locked="0"/>
    </xf>
    <xf numFmtId="0" fontId="77" fillId="0" borderId="0" xfId="4" applyFont="1" applyAlignment="1">
      <alignment horizontal="center"/>
    </xf>
    <xf numFmtId="0" fontId="77" fillId="15" borderId="0" xfId="4" applyFont="1" applyFill="1" applyAlignment="1">
      <alignment horizontal="center"/>
    </xf>
    <xf numFmtId="0" fontId="74" fillId="3" borderId="59" xfId="4" applyFont="1" applyFill="1" applyBorder="1" applyAlignment="1" applyProtection="1">
      <alignment horizontal="center"/>
    </xf>
    <xf numFmtId="0" fontId="74" fillId="3" borderId="63" xfId="4" applyFont="1" applyFill="1" applyBorder="1" applyAlignment="1" applyProtection="1">
      <alignment horizontal="center"/>
    </xf>
    <xf numFmtId="0" fontId="74" fillId="3" borderId="60" xfId="4" applyFont="1" applyFill="1" applyBorder="1" applyAlignment="1" applyProtection="1">
      <alignment horizontal="center"/>
    </xf>
    <xf numFmtId="0" fontId="6" fillId="15" borderId="9" xfId="0" applyFont="1" applyFill="1" applyBorder="1" applyAlignment="1">
      <alignment horizontal="left" vertical="top"/>
    </xf>
    <xf numFmtId="0" fontId="6" fillId="15" borderId="10" xfId="0" quotePrefix="1" applyFont="1" applyFill="1" applyBorder="1" applyAlignment="1" applyProtection="1">
      <alignment horizontal="center" vertical="center" wrapText="1"/>
      <protection locked="0"/>
    </xf>
    <xf numFmtId="0" fontId="6" fillId="15" borderId="11" xfId="0" quotePrefix="1" applyFont="1" applyFill="1" applyBorder="1" applyAlignment="1" applyProtection="1">
      <alignment horizontal="center" vertical="center" wrapText="1"/>
      <protection locked="0"/>
    </xf>
    <xf numFmtId="0" fontId="6" fillId="15" borderId="12" xfId="0" quotePrefix="1" applyFont="1" applyFill="1" applyBorder="1" applyAlignment="1" applyProtection="1">
      <alignment horizontal="center" vertical="center" wrapText="1"/>
      <protection locked="0"/>
    </xf>
    <xf numFmtId="0" fontId="6" fillId="15" borderId="15" xfId="0" quotePrefix="1" applyFont="1" applyFill="1" applyBorder="1" applyAlignment="1" applyProtection="1">
      <alignment horizontal="center" vertical="center" wrapText="1"/>
      <protection locked="0"/>
    </xf>
    <xf numFmtId="0" fontId="6" fillId="15" borderId="9" xfId="0" quotePrefix="1" applyFont="1" applyFill="1" applyBorder="1" applyAlignment="1" applyProtection="1">
      <alignment horizontal="center" vertical="center" wrapText="1"/>
      <protection locked="0"/>
    </xf>
    <xf numFmtId="0" fontId="6" fillId="15" borderId="16" xfId="0" quotePrefix="1" applyFont="1" applyFill="1" applyBorder="1" applyAlignment="1" applyProtection="1">
      <alignment horizontal="center" vertical="center" wrapText="1"/>
      <protection locked="0"/>
    </xf>
    <xf numFmtId="0" fontId="76" fillId="15" borderId="0" xfId="4" applyFont="1" applyFill="1" applyAlignment="1">
      <alignment horizontal="right" vertical="top"/>
    </xf>
    <xf numFmtId="0" fontId="19" fillId="0" borderId="10"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14" xfId="0" applyFont="1" applyBorder="1" applyAlignment="1" applyProtection="1">
      <alignment horizontal="left" vertical="top" wrapText="1"/>
      <protection locked="0"/>
    </xf>
    <xf numFmtId="0" fontId="19" fillId="0" borderId="15"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6" xfId="0" applyFont="1" applyBorder="1" applyAlignment="1" applyProtection="1">
      <alignment horizontal="left" vertical="top" wrapText="1"/>
      <protection locked="0"/>
    </xf>
    <xf numFmtId="0" fontId="20" fillId="14" borderId="0" xfId="0" applyFont="1" applyFill="1" applyAlignment="1">
      <alignment horizontal="left" vertical="top" wrapText="1"/>
    </xf>
    <xf numFmtId="0" fontId="20" fillId="14" borderId="9" xfId="0" applyFont="1" applyFill="1" applyBorder="1" applyAlignment="1">
      <alignment horizontal="left" vertical="top" wrapText="1"/>
    </xf>
    <xf numFmtId="0" fontId="6" fillId="15" borderId="9" xfId="0" applyFont="1" applyFill="1" applyBorder="1" applyAlignment="1">
      <alignment horizontal="left"/>
    </xf>
    <xf numFmtId="0" fontId="73" fillId="3" borderId="59" xfId="0" applyFont="1" applyFill="1" applyBorder="1" applyAlignment="1">
      <alignment horizontal="center"/>
    </xf>
    <xf numFmtId="0" fontId="73" fillId="3" borderId="63" xfId="0" applyFont="1" applyFill="1" applyBorder="1" applyAlignment="1">
      <alignment horizontal="center"/>
    </xf>
    <xf numFmtId="0" fontId="73" fillId="3" borderId="60" xfId="0" applyFont="1" applyFill="1" applyBorder="1" applyAlignment="1">
      <alignment horizontal="center"/>
    </xf>
    <xf numFmtId="165" fontId="73" fillId="3" borderId="59" xfId="0" applyNumberFormat="1" applyFont="1" applyFill="1" applyBorder="1" applyAlignment="1">
      <alignment horizontal="center"/>
    </xf>
    <xf numFmtId="165" fontId="73" fillId="3" borderId="60" xfId="0" applyNumberFormat="1" applyFont="1" applyFill="1" applyBorder="1" applyAlignment="1">
      <alignment horizontal="center"/>
    </xf>
    <xf numFmtId="0" fontId="73" fillId="3" borderId="61" xfId="0" applyFont="1" applyFill="1" applyBorder="1" applyAlignment="1">
      <alignment horizontal="center"/>
    </xf>
    <xf numFmtId="0" fontId="73" fillId="3" borderId="62" xfId="0" applyFont="1" applyFill="1" applyBorder="1" applyAlignment="1">
      <alignment horizontal="center"/>
    </xf>
    <xf numFmtId="0" fontId="19" fillId="0" borderId="0" xfId="0" applyFont="1" applyAlignment="1">
      <alignment horizontal="left" vertical="center" wrapText="1"/>
    </xf>
    <xf numFmtId="0" fontId="79" fillId="15" borderId="11" xfId="0" applyFont="1" applyFill="1" applyBorder="1" applyAlignment="1">
      <alignment horizontal="center" wrapText="1"/>
    </xf>
    <xf numFmtId="0" fontId="76" fillId="15" borderId="0" xfId="4" applyFont="1" applyFill="1" applyAlignment="1">
      <alignment horizontal="left"/>
    </xf>
    <xf numFmtId="0" fontId="6" fillId="15" borderId="11" xfId="0" applyFont="1" applyFill="1" applyBorder="1" applyAlignment="1">
      <alignment horizontal="left" vertical="center"/>
    </xf>
    <xf numFmtId="0" fontId="73" fillId="3" borderId="59" xfId="0" applyFont="1" applyFill="1" applyBorder="1" applyAlignment="1">
      <alignment horizontal="left"/>
    </xf>
    <xf numFmtId="0" fontId="73" fillId="3" borderId="63" xfId="0" applyFont="1" applyFill="1" applyBorder="1" applyAlignment="1">
      <alignment horizontal="left"/>
    </xf>
    <xf numFmtId="0" fontId="73" fillId="3" borderId="60" xfId="0" applyFont="1" applyFill="1" applyBorder="1" applyAlignment="1">
      <alignment horizontal="left"/>
    </xf>
    <xf numFmtId="0" fontId="27" fillId="15" borderId="9" xfId="0" applyFont="1" applyFill="1" applyBorder="1" applyAlignment="1">
      <alignment horizontal="center" vertical="center" wrapText="1"/>
    </xf>
    <xf numFmtId="0" fontId="92" fillId="0" borderId="65" xfId="0" applyFont="1" applyBorder="1" applyAlignment="1">
      <alignment horizontal="center" vertical="center" wrapText="1"/>
    </xf>
    <xf numFmtId="0" fontId="92" fillId="0" borderId="66" xfId="0" applyFont="1" applyBorder="1" applyAlignment="1">
      <alignment horizontal="center" vertical="center" wrapText="1"/>
    </xf>
    <xf numFmtId="0" fontId="92" fillId="0" borderId="67" xfId="0" applyFont="1" applyBorder="1" applyAlignment="1">
      <alignment horizontal="center" vertical="center" wrapText="1"/>
    </xf>
    <xf numFmtId="0" fontId="92" fillId="0" borderId="68" xfId="0" applyFont="1" applyBorder="1" applyAlignment="1">
      <alignment horizontal="center" vertical="center" wrapText="1"/>
    </xf>
    <xf numFmtId="0" fontId="92" fillId="0" borderId="0" xfId="0" applyFont="1" applyBorder="1" applyAlignment="1">
      <alignment horizontal="center" vertical="center" wrapText="1"/>
    </xf>
    <xf numFmtId="0" fontId="92" fillId="0" borderId="69" xfId="0" applyFont="1" applyBorder="1" applyAlignment="1">
      <alignment horizontal="center" vertical="center" wrapText="1"/>
    </xf>
    <xf numFmtId="0" fontId="92" fillId="0" borderId="70" xfId="0" applyFont="1" applyBorder="1" applyAlignment="1">
      <alignment horizontal="center" vertical="center" wrapText="1"/>
    </xf>
    <xf numFmtId="0" fontId="92" fillId="0" borderId="71" xfId="0" applyFont="1" applyBorder="1" applyAlignment="1">
      <alignment horizontal="center" vertical="center" wrapText="1"/>
    </xf>
    <xf numFmtId="0" fontId="92" fillId="0" borderId="72" xfId="0" applyFont="1" applyBorder="1" applyAlignment="1">
      <alignment horizontal="center" vertical="center" wrapText="1"/>
    </xf>
    <xf numFmtId="0" fontId="0" fillId="0" borderId="32" xfId="0" applyBorder="1" applyAlignment="1">
      <alignment horizontal="center"/>
    </xf>
    <xf numFmtId="0" fontId="0" fillId="0" borderId="27" xfId="0" applyBorder="1" applyAlignment="1">
      <alignment horizontal="center"/>
    </xf>
    <xf numFmtId="0" fontId="0" fillId="0" borderId="33" xfId="0" applyBorder="1" applyAlignment="1">
      <alignment horizontal="center"/>
    </xf>
    <xf numFmtId="165" fontId="33" fillId="0" borderId="65" xfId="0" applyNumberFormat="1" applyFont="1" applyBorder="1" applyAlignment="1" applyProtection="1">
      <alignment horizontal="left" vertical="top" wrapText="1"/>
      <protection locked="0"/>
    </xf>
    <xf numFmtId="165" fontId="33" fillId="0" borderId="66" xfId="0" applyNumberFormat="1" applyFont="1" applyBorder="1" applyAlignment="1" applyProtection="1">
      <alignment horizontal="left" vertical="top" wrapText="1"/>
      <protection locked="0"/>
    </xf>
    <xf numFmtId="165" fontId="33" fillId="0" borderId="67" xfId="0" applyNumberFormat="1" applyFont="1" applyBorder="1" applyAlignment="1" applyProtection="1">
      <alignment horizontal="left" vertical="top" wrapText="1"/>
      <protection locked="0"/>
    </xf>
    <xf numFmtId="165" fontId="33" fillId="0" borderId="68" xfId="0" applyNumberFormat="1" applyFont="1" applyBorder="1" applyAlignment="1" applyProtection="1">
      <alignment horizontal="left" vertical="top" wrapText="1"/>
      <protection locked="0"/>
    </xf>
    <xf numFmtId="165" fontId="33" fillId="0" borderId="0" xfId="0" applyNumberFormat="1" applyFont="1" applyBorder="1" applyAlignment="1" applyProtection="1">
      <alignment horizontal="left" vertical="top" wrapText="1"/>
      <protection locked="0"/>
    </xf>
    <xf numFmtId="165" fontId="33" fillId="0" borderId="69" xfId="0" applyNumberFormat="1" applyFont="1" applyBorder="1" applyAlignment="1" applyProtection="1">
      <alignment horizontal="left" vertical="top" wrapText="1"/>
      <protection locked="0"/>
    </xf>
    <xf numFmtId="165" fontId="33" fillId="0" borderId="70" xfId="0" applyNumberFormat="1" applyFont="1" applyBorder="1" applyAlignment="1" applyProtection="1">
      <alignment horizontal="left" vertical="top" wrapText="1"/>
      <protection locked="0"/>
    </xf>
    <xf numFmtId="165" fontId="33" fillId="0" borderId="71" xfId="0" applyNumberFormat="1" applyFont="1" applyBorder="1" applyAlignment="1" applyProtection="1">
      <alignment horizontal="left" vertical="top" wrapText="1"/>
      <protection locked="0"/>
    </xf>
    <xf numFmtId="165" fontId="33" fillId="0" borderId="72" xfId="0" applyNumberFormat="1" applyFont="1" applyBorder="1" applyAlignment="1" applyProtection="1">
      <alignment horizontal="left" vertical="top" wrapText="1"/>
      <protection locked="0"/>
    </xf>
    <xf numFmtId="0" fontId="33" fillId="0" borderId="73" xfId="0" applyFont="1" applyBorder="1" applyAlignment="1">
      <alignment horizontal="left" vertical="center"/>
    </xf>
    <xf numFmtId="0" fontId="33" fillId="0" borderId="74" xfId="0" applyFont="1" applyBorder="1" applyAlignment="1">
      <alignment horizontal="left" vertical="center"/>
    </xf>
    <xf numFmtId="0" fontId="33" fillId="0" borderId="75" xfId="0" applyFont="1" applyBorder="1" applyAlignment="1">
      <alignment horizontal="left" vertical="center"/>
    </xf>
    <xf numFmtId="165" fontId="33" fillId="0" borderId="73" xfId="0" applyNumberFormat="1" applyFont="1" applyBorder="1" applyAlignment="1">
      <alignment horizontal="left" vertical="center"/>
    </xf>
    <xf numFmtId="0" fontId="33" fillId="0" borderId="73" xfId="0" applyNumberFormat="1" applyFont="1" applyBorder="1" applyAlignment="1">
      <alignment horizontal="left" vertical="center"/>
    </xf>
    <xf numFmtId="0" fontId="33" fillId="0" borderId="74" xfId="0" applyNumberFormat="1" applyFont="1" applyBorder="1" applyAlignment="1">
      <alignment horizontal="left" vertical="center"/>
    </xf>
    <xf numFmtId="0" fontId="33" fillId="0" borderId="75" xfId="0" applyNumberFormat="1" applyFont="1" applyBorder="1" applyAlignment="1">
      <alignment horizontal="left" vertical="center"/>
    </xf>
    <xf numFmtId="0" fontId="11" fillId="0" borderId="3" xfId="0" applyFont="1" applyBorder="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0"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0" borderId="16" xfId="0" applyBorder="1" applyAlignment="1">
      <alignment horizontal="left" vertical="top" wrapText="1"/>
    </xf>
    <xf numFmtId="0" fontId="7" fillId="0" borderId="42" xfId="0" applyFont="1" applyBorder="1" applyAlignment="1" applyProtection="1">
      <alignment horizontal="left"/>
    </xf>
    <xf numFmtId="0" fontId="7" fillId="0" borderId="43" xfId="0" applyFont="1" applyBorder="1" applyAlignment="1" applyProtection="1">
      <alignment horizontal="left"/>
    </xf>
    <xf numFmtId="0" fontId="11" fillId="0" borderId="3" xfId="0" applyFont="1" applyFill="1" applyBorder="1" applyAlignment="1">
      <alignment horizontal="center"/>
    </xf>
    <xf numFmtId="0" fontId="11" fillId="0" borderId="4" xfId="0" applyFont="1" applyFill="1" applyBorder="1" applyAlignment="1">
      <alignment horizontal="center"/>
    </xf>
    <xf numFmtId="0" fontId="11" fillId="0" borderId="5" xfId="0" applyFont="1" applyFill="1" applyBorder="1" applyAlignment="1">
      <alignment horizontal="center"/>
    </xf>
    <xf numFmtId="0" fontId="0" fillId="0" borderId="1" xfId="0" applyNumberFormat="1" applyBorder="1" applyAlignment="1">
      <alignment horizontal="center"/>
    </xf>
    <xf numFmtId="0" fontId="18" fillId="0" borderId="1" xfId="4" applyNumberFormat="1" applyBorder="1" applyAlignment="1">
      <alignment horizontal="center"/>
    </xf>
    <xf numFmtId="0" fontId="33" fillId="0" borderId="11" xfId="0" applyNumberFormat="1" applyFont="1" applyBorder="1" applyAlignment="1">
      <alignment horizontal="center"/>
    </xf>
    <xf numFmtId="0" fontId="26" fillId="0" borderId="0" xfId="0" applyFont="1" applyAlignment="1">
      <alignment horizontal="right"/>
    </xf>
    <xf numFmtId="0" fontId="26" fillId="0" borderId="0" xfId="0" applyFont="1" applyAlignment="1">
      <alignment horizontal="left"/>
    </xf>
    <xf numFmtId="167" fontId="0" fillId="0" borderId="1" xfId="0" applyNumberFormat="1" applyBorder="1" applyAlignment="1">
      <alignment horizontal="center"/>
    </xf>
    <xf numFmtId="0" fontId="7" fillId="0" borderId="0" xfId="0" applyFont="1" applyAlignment="1">
      <alignment horizontal="right"/>
    </xf>
    <xf numFmtId="0" fontId="56" fillId="0" borderId="0" xfId="0" applyFont="1" applyAlignment="1">
      <alignment horizontal="left"/>
    </xf>
    <xf numFmtId="0" fontId="9" fillId="15" borderId="0" xfId="0" quotePrefix="1" applyFont="1" applyFill="1" applyAlignment="1">
      <alignment horizontal="center"/>
    </xf>
    <xf numFmtId="0" fontId="9" fillId="15" borderId="14" xfId="0" applyFont="1" applyFill="1" applyBorder="1" applyAlignment="1">
      <alignment horizontal="center"/>
    </xf>
    <xf numFmtId="0" fontId="33" fillId="0" borderId="65" xfId="0" applyNumberFormat="1" applyFont="1" applyFill="1" applyBorder="1" applyAlignment="1">
      <alignment horizontal="left" vertical="center" wrapText="1"/>
    </xf>
    <xf numFmtId="0" fontId="33" fillId="0" borderId="66" xfId="0" applyNumberFormat="1" applyFont="1" applyFill="1" applyBorder="1" applyAlignment="1">
      <alignment horizontal="left" vertical="center" wrapText="1"/>
    </xf>
    <xf numFmtId="0" fontId="33" fillId="0" borderId="67" xfId="0" applyNumberFormat="1" applyFont="1" applyFill="1" applyBorder="1" applyAlignment="1">
      <alignment horizontal="left" vertical="center" wrapText="1"/>
    </xf>
    <xf numFmtId="0" fontId="33" fillId="0" borderId="68"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xf numFmtId="0" fontId="33" fillId="0" borderId="69" xfId="0" applyNumberFormat="1" applyFont="1" applyFill="1" applyBorder="1" applyAlignment="1">
      <alignment horizontal="left" vertical="center" wrapText="1"/>
    </xf>
    <xf numFmtId="0" fontId="33" fillId="0" borderId="70" xfId="0" applyNumberFormat="1" applyFont="1" applyFill="1" applyBorder="1" applyAlignment="1">
      <alignment horizontal="left" vertical="center" wrapText="1"/>
    </xf>
    <xf numFmtId="0" fontId="33" fillId="0" borderId="71" xfId="0" applyNumberFormat="1" applyFont="1" applyFill="1" applyBorder="1" applyAlignment="1">
      <alignment horizontal="left" vertical="center" wrapText="1"/>
    </xf>
    <xf numFmtId="0" fontId="33" fillId="0" borderId="72" xfId="0" applyNumberFormat="1" applyFont="1" applyFill="1" applyBorder="1" applyAlignment="1">
      <alignment horizontal="left" vertical="center" wrapText="1"/>
    </xf>
    <xf numFmtId="0" fontId="13" fillId="0" borderId="0" xfId="0" applyFont="1" applyFill="1" applyBorder="1" applyAlignment="1">
      <alignment horizontal="center" vertical="top"/>
    </xf>
    <xf numFmtId="0" fontId="0" fillId="0" borderId="0" xfId="0" applyAlignment="1">
      <alignment horizontal="left" vertical="top" wrapText="1"/>
    </xf>
    <xf numFmtId="0" fontId="10" fillId="0" borderId="10"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2" xfId="0" applyFont="1" applyBorder="1" applyAlignment="1" applyProtection="1">
      <alignment horizontal="left" vertical="top" wrapText="1"/>
    </xf>
    <xf numFmtId="0" fontId="10" fillId="0" borderId="13"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4" xfId="0" applyFont="1" applyBorder="1" applyAlignment="1" applyProtection="1">
      <alignment horizontal="left" vertical="top" wrapText="1"/>
    </xf>
    <xf numFmtId="0" fontId="10" fillId="0" borderId="15" xfId="0" applyFont="1" applyBorder="1" applyAlignment="1" applyProtection="1">
      <alignment horizontal="left" vertical="top" wrapText="1"/>
    </xf>
    <xf numFmtId="0" fontId="10" fillId="0" borderId="9"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0" fillId="0" borderId="32" xfId="0" applyBorder="1" applyAlignment="1" applyProtection="1">
      <alignment horizontal="left" vertical="center"/>
    </xf>
    <xf numFmtId="0" fontId="0" fillId="0" borderId="27" xfId="0" applyBorder="1" applyAlignment="1" applyProtection="1">
      <alignment horizontal="left" vertical="center"/>
    </xf>
    <xf numFmtId="0" fontId="0" fillId="0" borderId="33" xfId="0" applyBorder="1" applyAlignment="1" applyProtection="1">
      <alignment horizontal="left" vertical="center"/>
    </xf>
    <xf numFmtId="0" fontId="72" fillId="0" borderId="11" xfId="0" applyFont="1" applyFill="1" applyBorder="1" applyAlignment="1" applyProtection="1">
      <alignment horizontal="center" vertical="center"/>
    </xf>
    <xf numFmtId="0" fontId="72" fillId="0" borderId="0" xfId="0" applyFont="1" applyFill="1" applyAlignment="1">
      <alignment horizontal="left" vertical="center"/>
    </xf>
    <xf numFmtId="0" fontId="7" fillId="0" borderId="42" xfId="0" applyNumberFormat="1" applyFont="1" applyBorder="1" applyAlignment="1" applyProtection="1">
      <alignment horizontal="left"/>
    </xf>
    <xf numFmtId="0" fontId="7" fillId="0" borderId="56" xfId="0" applyNumberFormat="1" applyFont="1" applyBorder="1" applyAlignment="1" applyProtection="1">
      <alignment horizontal="left"/>
    </xf>
    <xf numFmtId="0" fontId="7" fillId="0" borderId="43" xfId="0" applyNumberFormat="1" applyFont="1" applyBorder="1" applyAlignment="1" applyProtection="1">
      <alignment horizontal="left"/>
    </xf>
    <xf numFmtId="0" fontId="96" fillId="18" borderId="0" xfId="4" applyFont="1" applyFill="1" applyAlignment="1">
      <alignment horizontal="center"/>
    </xf>
    <xf numFmtId="0" fontId="10" fillId="0" borderId="19"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20" xfId="0" applyFont="1" applyBorder="1" applyAlignment="1" applyProtection="1">
      <alignment horizontal="left" vertical="top" wrapText="1"/>
    </xf>
    <xf numFmtId="0" fontId="10" fillId="0" borderId="22"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39" xfId="0" applyFont="1" applyBorder="1" applyAlignment="1" applyProtection="1">
      <alignment horizontal="left" vertical="top" wrapText="1"/>
    </xf>
    <xf numFmtId="0" fontId="10" fillId="0" borderId="37" xfId="0" applyFont="1" applyBorder="1" applyAlignment="1" applyProtection="1">
      <alignment horizontal="left" vertical="top" wrapText="1"/>
    </xf>
    <xf numFmtId="0" fontId="10" fillId="0" borderId="40" xfId="0" applyFont="1" applyBorder="1" applyAlignment="1" applyProtection="1">
      <alignment horizontal="left" vertical="top" wrapText="1"/>
    </xf>
    <xf numFmtId="0" fontId="9" fillId="0" borderId="0" xfId="0" applyFont="1" applyBorder="1" applyAlignment="1" applyProtection="1">
      <alignment horizontal="center"/>
    </xf>
    <xf numFmtId="0" fontId="33" fillId="0" borderId="48" xfId="0" applyFont="1" applyBorder="1" applyAlignment="1">
      <alignment horizontal="center" vertical="top" wrapText="1"/>
    </xf>
    <xf numFmtId="0" fontId="33" fillId="0" borderId="49" xfId="0" applyFont="1" applyBorder="1" applyAlignment="1">
      <alignment horizontal="center" vertical="top" wrapText="1"/>
    </xf>
    <xf numFmtId="0" fontId="33" fillId="0" borderId="50" xfId="0" applyFont="1" applyBorder="1" applyAlignment="1">
      <alignment horizontal="center" vertical="top" wrapText="1"/>
    </xf>
    <xf numFmtId="0" fontId="33" fillId="0" borderId="51" xfId="0" applyFont="1" applyBorder="1" applyAlignment="1">
      <alignment horizontal="center" vertical="top" wrapText="1"/>
    </xf>
    <xf numFmtId="0" fontId="33" fillId="0" borderId="0" xfId="0" applyFont="1" applyBorder="1" applyAlignment="1">
      <alignment horizontal="center" vertical="top" wrapText="1"/>
    </xf>
    <xf numFmtId="0" fontId="33" fillId="0" borderId="52" xfId="0" applyFont="1" applyBorder="1" applyAlignment="1">
      <alignment horizontal="center" vertical="top" wrapText="1"/>
    </xf>
    <xf numFmtId="0" fontId="33" fillId="0" borderId="53" xfId="0" applyFont="1" applyBorder="1" applyAlignment="1">
      <alignment horizontal="center" vertical="top" wrapText="1"/>
    </xf>
    <xf numFmtId="0" fontId="33" fillId="0" borderId="54" xfId="0" applyFont="1" applyBorder="1" applyAlignment="1">
      <alignment horizontal="center" vertical="top" wrapText="1"/>
    </xf>
    <xf numFmtId="0" fontId="33" fillId="0" borderId="55" xfId="0" applyFont="1" applyBorder="1" applyAlignment="1">
      <alignment horizontal="center" vertical="top" wrapText="1"/>
    </xf>
    <xf numFmtId="0" fontId="0" fillId="0" borderId="3" xfId="0" applyBorder="1" applyAlignment="1" applyProtection="1">
      <alignment horizontal="left"/>
    </xf>
    <xf numFmtId="0" fontId="0" fillId="0" borderId="4" xfId="0" applyBorder="1" applyAlignment="1" applyProtection="1">
      <alignment horizontal="left"/>
    </xf>
    <xf numFmtId="0" fontId="0" fillId="0" borderId="5" xfId="0" applyBorder="1" applyAlignment="1" applyProtection="1">
      <alignment horizontal="left"/>
    </xf>
    <xf numFmtId="0" fontId="0" fillId="0" borderId="19" xfId="0" applyBorder="1" applyAlignment="1">
      <alignment horizontal="left" vertical="top"/>
    </xf>
    <xf numFmtId="0" fontId="0" fillId="0" borderId="21" xfId="0" applyBorder="1" applyAlignment="1">
      <alignment horizontal="left" vertical="top"/>
    </xf>
    <xf numFmtId="0" fontId="0" fillId="0" borderId="20" xfId="0" applyBorder="1" applyAlignment="1">
      <alignment horizontal="left" vertical="top"/>
    </xf>
    <xf numFmtId="0" fontId="0" fillId="0" borderId="22" xfId="0" applyBorder="1" applyAlignment="1">
      <alignment horizontal="left" vertical="top"/>
    </xf>
    <xf numFmtId="0" fontId="0" fillId="0" borderId="0" xfId="0" applyBorder="1" applyAlignment="1">
      <alignment horizontal="left" vertical="top"/>
    </xf>
    <xf numFmtId="0" fontId="0" fillId="0" borderId="18"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40" xfId="0" applyBorder="1" applyAlignment="1">
      <alignment horizontal="left" vertical="top"/>
    </xf>
    <xf numFmtId="49" fontId="0" fillId="0" borderId="42" xfId="0" applyNumberFormat="1" applyBorder="1" applyAlignment="1" applyProtection="1">
      <alignment horizontal="center"/>
      <protection locked="0"/>
    </xf>
    <xf numFmtId="49" fontId="0" fillId="0" borderId="43" xfId="0" applyNumberFormat="1" applyBorder="1" applyAlignment="1" applyProtection="1">
      <alignment horizontal="center"/>
      <protection locked="0"/>
    </xf>
    <xf numFmtId="0" fontId="89" fillId="0" borderId="0" xfId="0" applyFont="1" applyAlignment="1">
      <alignment horizontal="center"/>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0" fillId="0" borderId="0" xfId="0" applyBorder="1" applyAlignment="1">
      <alignment horizont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6" xfId="0" applyBorder="1" applyAlignment="1">
      <alignment horizontal="center" wrapText="1"/>
    </xf>
    <xf numFmtId="0" fontId="98" fillId="0" borderId="66" xfId="4" applyFont="1" applyFill="1" applyBorder="1" applyAlignment="1" applyProtection="1">
      <alignment horizontal="center" wrapText="1"/>
    </xf>
  </cellXfs>
  <cellStyles count="5">
    <cellStyle name="Hyperlink" xfId="4" builtinId="8"/>
    <cellStyle name="Normal" xfId="0" builtinId="0"/>
    <cellStyle name="Normal 12" xfId="2" xr:uid="{00000000-0005-0000-0000-000002000000}"/>
    <cellStyle name="Normal 2" xfId="1" xr:uid="{00000000-0005-0000-0000-000003000000}"/>
    <cellStyle name="Normal 2 2 2" xfId="3" xr:uid="{00000000-0005-0000-0000-000004000000}"/>
  </cellStyles>
  <dxfs count="89">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7030A0"/>
      </font>
    </dxf>
    <dxf>
      <fill>
        <patternFill>
          <bgColor theme="0" tint="-0.34998626667073579"/>
        </patternFill>
      </fill>
    </dxf>
    <dxf>
      <fill>
        <patternFill>
          <bgColor rgb="FF92D050"/>
        </patternFill>
      </fill>
    </dxf>
    <dxf>
      <fill>
        <patternFill>
          <bgColor rgb="FF92D050"/>
        </patternFill>
      </fill>
    </dxf>
    <dxf>
      <fill>
        <patternFill>
          <bgColor rgb="FF92D050"/>
        </patternFill>
      </fill>
    </dxf>
    <dxf>
      <fill>
        <patternFill>
          <bgColor rgb="FF92D050"/>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bgColor rgb="FF92D05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theme="0" tint="-0.499984740745262"/>
      </font>
      <fill>
        <patternFill>
          <bgColor theme="0" tint="-0.14996795556505021"/>
        </patternFill>
      </fill>
    </dxf>
    <dxf>
      <fill>
        <patternFill>
          <bgColor rgb="FF92D050"/>
        </patternFill>
      </fill>
    </dxf>
    <dxf>
      <fill>
        <patternFill>
          <bgColor theme="0"/>
        </patternFill>
      </fill>
    </dxf>
    <dxf>
      <fill>
        <patternFill>
          <bgColor rgb="FF92D050"/>
        </patternFill>
      </fill>
    </dxf>
    <dxf>
      <font>
        <color theme="1"/>
      </font>
      <fill>
        <patternFill>
          <bgColor theme="0"/>
        </patternFill>
      </fill>
    </dxf>
    <dxf>
      <fill>
        <patternFill>
          <bgColor rgb="FF92D050"/>
        </patternFill>
      </fill>
    </dxf>
    <dxf>
      <fill>
        <patternFill>
          <bgColor rgb="FF92D050"/>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7030A0"/>
      </font>
    </dxf>
    <dxf>
      <font>
        <color rgb="FFFF0000"/>
      </font>
    </dxf>
    <dxf>
      <font>
        <color rgb="FF7030A0"/>
      </font>
    </dxf>
    <dxf>
      <font>
        <color rgb="FFFF0000"/>
      </font>
    </dxf>
    <dxf>
      <fill>
        <patternFill>
          <bgColor rgb="FF92D050"/>
        </patternFill>
      </fill>
    </dxf>
    <dxf>
      <font>
        <color rgb="FF7030A0"/>
      </font>
    </dxf>
    <dxf>
      <font>
        <color rgb="FFFF0000"/>
      </font>
    </dxf>
    <dxf>
      <font>
        <b/>
        <i val="0"/>
        <color rgb="FFFF0000"/>
      </font>
    </dxf>
    <dxf>
      <fill>
        <patternFill>
          <bgColor theme="0" tint="-0.34998626667073579"/>
        </patternFill>
      </fill>
    </dxf>
    <dxf>
      <fill>
        <patternFill>
          <bgColor theme="0"/>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34998626667073579"/>
      </font>
      <fill>
        <patternFill>
          <bgColor theme="0" tint="-0.14996795556505021"/>
        </patternFill>
      </fill>
    </dxf>
    <dxf>
      <font>
        <color theme="0" tint="-0.34998626667073579"/>
      </font>
      <fill>
        <patternFill>
          <bgColor theme="0" tint="-0.14996795556505021"/>
        </patternFill>
      </fill>
    </dxf>
    <dxf>
      <font>
        <color theme="0"/>
      </font>
      <fill>
        <patternFill>
          <bgColor theme="0"/>
        </patternFill>
      </fill>
    </dxf>
    <dxf>
      <font>
        <color theme="0"/>
      </font>
      <fill>
        <patternFill>
          <bgColor theme="0"/>
        </patternFill>
      </fill>
    </dxf>
    <dxf>
      <font>
        <color theme="0" tint="-0.34998626667073579"/>
      </font>
      <fill>
        <patternFill>
          <bgColor theme="0" tint="-0.14996795556505021"/>
        </patternFill>
      </fill>
    </dxf>
    <dxf>
      <font>
        <color theme="0" tint="-0.499984740745262"/>
      </font>
      <fill>
        <patternFill>
          <bgColor theme="0" tint="-0.14996795556505021"/>
        </patternFill>
      </fill>
    </dxf>
    <dxf>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b val="0"/>
        <i/>
        <color rgb="FF7030A0"/>
      </font>
    </dxf>
    <dxf>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b/>
        <i val="0"/>
        <color rgb="FF7030A0"/>
      </font>
    </dxf>
    <dxf>
      <font>
        <color theme="0" tint="-0.499984740745262"/>
      </font>
      <fill>
        <patternFill>
          <bgColor theme="0" tint="-0.14996795556505021"/>
        </patternFill>
      </fill>
    </dxf>
    <dxf>
      <font>
        <strike val="0"/>
        <color theme="0" tint="-0.499984740745262"/>
      </font>
      <fill>
        <patternFill>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ill>
        <patternFill patternType="solid">
          <bgColor theme="0" tint="-0.14996795556505021"/>
        </patternFill>
      </fill>
    </dxf>
    <dxf>
      <font>
        <color theme="0" tint="-0.499984740745262"/>
      </font>
      <fill>
        <patternFill>
          <bgColor theme="0" tint="-0.14996795556505021"/>
        </patternFill>
      </fill>
    </dxf>
    <dxf>
      <font>
        <color theme="0" tint="-0.499984740745262"/>
      </font>
      <fill>
        <patternFill>
          <bgColor theme="0" tint="-0.14996795556505021"/>
        </patternFill>
      </fill>
    </dxf>
    <dxf>
      <font>
        <color rgb="FFFF0000"/>
      </font>
    </dxf>
    <dxf>
      <font>
        <color rgb="FFFF0000"/>
      </font>
    </dxf>
    <dxf>
      <font>
        <b/>
        <i val="0"/>
        <color rgb="FFFF0000"/>
      </font>
    </dxf>
    <dxf>
      <font>
        <color rgb="FFFF0000"/>
      </font>
    </dxf>
    <dxf>
      <fill>
        <patternFill>
          <bgColor theme="0" tint="-0.14996795556505021"/>
        </patternFill>
      </fill>
    </dxf>
    <dxf>
      <fill>
        <patternFill>
          <bgColor theme="0" tint="-0.14996795556505021"/>
        </patternFill>
      </fill>
    </dxf>
    <dxf>
      <fill>
        <patternFill>
          <bgColor theme="0" tint="-0.14996795556505021"/>
        </patternFill>
      </fill>
    </dxf>
    <dxf>
      <font>
        <b/>
        <i val="0"/>
        <color rgb="FFFF0000"/>
      </font>
    </dxf>
    <dxf>
      <font>
        <color rgb="FF7030A0"/>
      </font>
    </dxf>
    <dxf>
      <font>
        <color rgb="FFFF0000"/>
      </font>
    </dxf>
    <dxf>
      <font>
        <color rgb="FFFF0000"/>
      </font>
    </dxf>
    <dxf>
      <font>
        <color rgb="FFFF0000"/>
      </font>
    </dxf>
    <dxf>
      <font>
        <b/>
        <i val="0"/>
        <color rgb="FFFF0000"/>
      </font>
    </dxf>
    <dxf>
      <font>
        <color rgb="FFFF0000"/>
      </font>
    </dxf>
    <dxf>
      <fill>
        <patternFill>
          <bgColor theme="0" tint="-0.14996795556505021"/>
        </patternFill>
      </fill>
    </dxf>
    <dxf>
      <font>
        <color rgb="FF7030A0"/>
      </font>
    </dxf>
    <dxf>
      <font>
        <color theme="0" tint="-0.499984740745262"/>
      </font>
      <fill>
        <patternFill>
          <bgColor theme="0" tint="-0.14996795556505021"/>
        </patternFill>
      </fill>
    </dxf>
    <dxf>
      <font>
        <color theme="0" tint="-0.499984740745262"/>
      </font>
      <fill>
        <patternFill>
          <bgColor theme="0" tint="-0.1499679555650502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fmlaLink="CHECKING!$B$29" lockText="1" noThreeD="1"/>
</file>

<file path=xl/ctrlProps/ctrlProp11.xml><?xml version="1.0" encoding="utf-8"?>
<formControlPr xmlns="http://schemas.microsoft.com/office/spreadsheetml/2009/9/main" objectType="CheckBox" fmlaLink="CHECKING!$B$30" lockText="1" noThreeD="1"/>
</file>

<file path=xl/ctrlProps/ctrlProp12.xml><?xml version="1.0" encoding="utf-8"?>
<formControlPr xmlns="http://schemas.microsoft.com/office/spreadsheetml/2009/9/main" objectType="CheckBox" fmlaLink="CHECKING!$B$31" lockText="1" noThreeD="1"/>
</file>

<file path=xl/ctrlProps/ctrlProp13.xml><?xml version="1.0" encoding="utf-8"?>
<formControlPr xmlns="http://schemas.microsoft.com/office/spreadsheetml/2009/9/main" objectType="CheckBox" fmlaLink="CHECKING!$B$32" lockText="1" noThreeD="1"/>
</file>

<file path=xl/ctrlProps/ctrlProp14.xml><?xml version="1.0" encoding="utf-8"?>
<formControlPr xmlns="http://schemas.microsoft.com/office/spreadsheetml/2009/9/main" objectType="CheckBox" fmlaLink="CHECKING!$B$33" lockText="1" noThreeD="1"/>
</file>

<file path=xl/ctrlProps/ctrlProp15.xml><?xml version="1.0" encoding="utf-8"?>
<formControlPr xmlns="http://schemas.microsoft.com/office/spreadsheetml/2009/9/main" objectType="CheckBox" fmlaLink="CHECKING!$B$34" lockText="1" noThreeD="1"/>
</file>

<file path=xl/ctrlProps/ctrlProp16.xml><?xml version="1.0" encoding="utf-8"?>
<formControlPr xmlns="http://schemas.microsoft.com/office/spreadsheetml/2009/9/main" objectType="CheckBox" fmlaLink="CHECKING!$B$35" lockText="1" noThreeD="1"/>
</file>

<file path=xl/ctrlProps/ctrlProp17.xml><?xml version="1.0" encoding="utf-8"?>
<formControlPr xmlns="http://schemas.microsoft.com/office/spreadsheetml/2009/9/main" objectType="CheckBox" fmlaLink="CHECKING!$B$36" lockText="1" noThreeD="1"/>
</file>

<file path=xl/ctrlProps/ctrlProp18.xml><?xml version="1.0" encoding="utf-8"?>
<formControlPr xmlns="http://schemas.microsoft.com/office/spreadsheetml/2009/9/main" objectType="CheckBox" fmlaLink="CHECKING!$B$37" lockText="1" noThreeD="1"/>
</file>

<file path=xl/ctrlProps/ctrlProp19.xml><?xml version="1.0" encoding="utf-8"?>
<formControlPr xmlns="http://schemas.microsoft.com/office/spreadsheetml/2009/9/main" objectType="CheckBox" fmlaLink="CHECKING!$B$38" lockText="1" noThreeD="1"/>
</file>

<file path=xl/ctrlProps/ctrlProp2.xml><?xml version="1.0" encoding="utf-8"?>
<formControlPr xmlns="http://schemas.microsoft.com/office/spreadsheetml/2009/9/main" objectType="CheckBox" fmlaLink="CHECKING!$B$7" lockText="1" noThreeD="1"/>
</file>

<file path=xl/ctrlProps/ctrlProp20.xml><?xml version="1.0" encoding="utf-8"?>
<formControlPr xmlns="http://schemas.microsoft.com/office/spreadsheetml/2009/9/main" objectType="CheckBox" fmlaLink="CHECKING!$B$39" lockText="1" noThreeD="1"/>
</file>

<file path=xl/ctrlProps/ctrlProp21.xml><?xml version="1.0" encoding="utf-8"?>
<formControlPr xmlns="http://schemas.microsoft.com/office/spreadsheetml/2009/9/main" objectType="CheckBox" fmlaLink="CHECKING!$B$40" lockText="1" noThreeD="1"/>
</file>

<file path=xl/ctrlProps/ctrlProp22.xml><?xml version="1.0" encoding="utf-8"?>
<formControlPr xmlns="http://schemas.microsoft.com/office/spreadsheetml/2009/9/main" objectType="CheckBox" fmlaLink="CHECKING!$B$41" lockText="1" noThreeD="1"/>
</file>

<file path=xl/ctrlProps/ctrlProp23.xml><?xml version="1.0" encoding="utf-8"?>
<formControlPr xmlns="http://schemas.microsoft.com/office/spreadsheetml/2009/9/main" objectType="CheckBox" fmlaLink="CHECKING!$B$45" lockText="1" noThreeD="1"/>
</file>

<file path=xl/ctrlProps/ctrlProp24.xml><?xml version="1.0" encoding="utf-8"?>
<formControlPr xmlns="http://schemas.microsoft.com/office/spreadsheetml/2009/9/main" objectType="CheckBox" fmlaLink="CHECKING!$B$46" lockText="1" noThreeD="1"/>
</file>

<file path=xl/ctrlProps/ctrlProp25.xml><?xml version="1.0" encoding="utf-8"?>
<formControlPr xmlns="http://schemas.microsoft.com/office/spreadsheetml/2009/9/main" objectType="CheckBox" fmlaLink="CHECKING!$B$52" lockText="1" noThreeD="1"/>
</file>

<file path=xl/ctrlProps/ctrlProp26.xml><?xml version="1.0" encoding="utf-8"?>
<formControlPr xmlns="http://schemas.microsoft.com/office/spreadsheetml/2009/9/main" objectType="CheckBox" fmlaLink="CHECKING!$B$89" lockText="1" noThreeD="1"/>
</file>

<file path=xl/ctrlProps/ctrlProp27.xml><?xml version="1.0" encoding="utf-8"?>
<formControlPr xmlns="http://schemas.microsoft.com/office/spreadsheetml/2009/9/main" objectType="CheckBox" fmlaLink="CHECKING!$B$60" lockText="1" noThreeD="1"/>
</file>

<file path=xl/ctrlProps/ctrlProp28.xml><?xml version="1.0" encoding="utf-8"?>
<formControlPr xmlns="http://schemas.microsoft.com/office/spreadsheetml/2009/9/main" objectType="CheckBox" fmlaLink="CHECKING!$B$92" lockText="1" noThreeD="1"/>
</file>

<file path=xl/ctrlProps/ctrlProp29.xml><?xml version="1.0" encoding="utf-8"?>
<formControlPr xmlns="http://schemas.microsoft.com/office/spreadsheetml/2009/9/main" objectType="CheckBox" fmlaLink="CHECKING!$B$93" lockText="1" noThreeD="1"/>
</file>

<file path=xl/ctrlProps/ctrlProp3.xml><?xml version="1.0" encoding="utf-8"?>
<formControlPr xmlns="http://schemas.microsoft.com/office/spreadsheetml/2009/9/main" objectType="CheckBox" fmlaLink="CHECKING!$B$8" lockText="1" noThreeD="1"/>
</file>

<file path=xl/ctrlProps/ctrlProp30.xml><?xml version="1.0" encoding="utf-8"?>
<formControlPr xmlns="http://schemas.microsoft.com/office/spreadsheetml/2009/9/main" objectType="CheckBox" fmlaLink="CHECKING!$B$96" lockText="1" noThreeD="1"/>
</file>

<file path=xl/ctrlProps/ctrlProp31.xml><?xml version="1.0" encoding="utf-8"?>
<formControlPr xmlns="http://schemas.microsoft.com/office/spreadsheetml/2009/9/main" objectType="CheckBox" fmlaLink="CHECKING!$D$96" lockText="1" noThreeD="1"/>
</file>

<file path=xl/ctrlProps/ctrlProp32.xml><?xml version="1.0" encoding="utf-8"?>
<formControlPr xmlns="http://schemas.microsoft.com/office/spreadsheetml/2009/9/main" objectType="CheckBox" fmlaLink="CHECKING!$B$97" lockText="1" noThreeD="1"/>
</file>

<file path=xl/ctrlProps/ctrlProp33.xml><?xml version="1.0" encoding="utf-8"?>
<formControlPr xmlns="http://schemas.microsoft.com/office/spreadsheetml/2009/9/main" objectType="CheckBox" fmlaLink="CHECKING!$B$99" lockText="1" noThreeD="1"/>
</file>

<file path=xl/ctrlProps/ctrlProp34.xml><?xml version="1.0" encoding="utf-8"?>
<formControlPr xmlns="http://schemas.microsoft.com/office/spreadsheetml/2009/9/main" objectType="CheckBox" fmlaLink="CHECKING!$B$100" lockText="1" noThreeD="1"/>
</file>

<file path=xl/ctrlProps/ctrlProp35.xml><?xml version="1.0" encoding="utf-8"?>
<formControlPr xmlns="http://schemas.microsoft.com/office/spreadsheetml/2009/9/main" objectType="CheckBox" fmlaLink="CHECKING!$B$106" lockText="1" noThreeD="1"/>
</file>

<file path=xl/ctrlProps/ctrlProp36.xml><?xml version="1.0" encoding="utf-8"?>
<formControlPr xmlns="http://schemas.microsoft.com/office/spreadsheetml/2009/9/main" objectType="CheckBox" fmlaLink="CHECKING!$B$112" lockText="1" noThreeD="1"/>
</file>

<file path=xl/ctrlProps/ctrlProp37.xml><?xml version="1.0" encoding="utf-8"?>
<formControlPr xmlns="http://schemas.microsoft.com/office/spreadsheetml/2009/9/main" objectType="CheckBox" fmlaLink="CHECKING!$B$121" lockText="1" noThreeD="1"/>
</file>

<file path=xl/ctrlProps/ctrlProp38.xml><?xml version="1.0" encoding="utf-8"?>
<formControlPr xmlns="http://schemas.microsoft.com/office/spreadsheetml/2009/9/main" objectType="CheckBox" fmlaLink="CHECKING!$B$133" lockText="1" noThreeD="1"/>
</file>

<file path=xl/ctrlProps/ctrlProp39.xml><?xml version="1.0" encoding="utf-8"?>
<formControlPr xmlns="http://schemas.microsoft.com/office/spreadsheetml/2009/9/main" objectType="CheckBox" fmlaLink="CHECKING!$B$135"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CheckBox" fmlaLink="CHECKING!$B$145" lockText="1" noThreeD="1"/>
</file>

<file path=xl/ctrlProps/ctrlProp41.xml><?xml version="1.0" encoding="utf-8"?>
<formControlPr xmlns="http://schemas.microsoft.com/office/spreadsheetml/2009/9/main" objectType="CheckBox" fmlaLink="CHECKING!$B$150" lockText="1" noThreeD="1"/>
</file>

<file path=xl/ctrlProps/ctrlProp42.xml><?xml version="1.0" encoding="utf-8"?>
<formControlPr xmlns="http://schemas.microsoft.com/office/spreadsheetml/2009/9/main" objectType="CheckBox" fmlaLink="CHECKING!$D$164" lockText="1" noThreeD="1"/>
</file>

<file path=xl/ctrlProps/ctrlProp43.xml><?xml version="1.0" encoding="utf-8"?>
<formControlPr xmlns="http://schemas.microsoft.com/office/spreadsheetml/2009/9/main" objectType="CheckBox" fmlaLink="CHECKING!$B$144" lockText="1" noThreeD="1"/>
</file>

<file path=xl/ctrlProps/ctrlProp44.xml><?xml version="1.0" encoding="utf-8"?>
<formControlPr xmlns="http://schemas.microsoft.com/office/spreadsheetml/2009/9/main" objectType="CheckBox" fmlaLink="CHECKING!$D$170" lockText="1" noThreeD="1"/>
</file>

<file path=xl/ctrlProps/ctrlProp45.xml><?xml version="1.0" encoding="utf-8"?>
<formControlPr xmlns="http://schemas.microsoft.com/office/spreadsheetml/2009/9/main" objectType="CheckBox" fmlaLink="CHECKING!$B$173" lockText="1" noThreeD="1"/>
</file>

<file path=xl/ctrlProps/ctrlProp46.xml><?xml version="1.0" encoding="utf-8"?>
<formControlPr xmlns="http://schemas.microsoft.com/office/spreadsheetml/2009/9/main" objectType="CheckBox" fmlaLink="CHECKING!$B$174" lockText="1" noThreeD="1"/>
</file>

<file path=xl/ctrlProps/ctrlProp47.xml><?xml version="1.0" encoding="utf-8"?>
<formControlPr xmlns="http://schemas.microsoft.com/office/spreadsheetml/2009/9/main" objectType="CheckBox" fmlaLink="CHECKING!$B$184" lockText="1" noThreeD="1"/>
</file>

<file path=xl/ctrlProps/ctrlProp48.xml><?xml version="1.0" encoding="utf-8"?>
<formControlPr xmlns="http://schemas.microsoft.com/office/spreadsheetml/2009/9/main" objectType="CheckBox" fmlaLink="CHECKING!$B$185" lockText="1" noThreeD="1"/>
</file>

<file path=xl/ctrlProps/ctrlProp49.xml><?xml version="1.0" encoding="utf-8"?>
<formControlPr xmlns="http://schemas.microsoft.com/office/spreadsheetml/2009/9/main" objectType="CheckBox" fmlaLink="CHECKING!$B$186" lockText="1" noThreeD="1"/>
</file>

<file path=xl/ctrlProps/ctrlProp5.xml><?xml version="1.0" encoding="utf-8"?>
<formControlPr xmlns="http://schemas.microsoft.com/office/spreadsheetml/2009/9/main" objectType="CheckBox" fmlaLink="CHECKING!$D$18" lockText="1" noThreeD="1"/>
</file>

<file path=xl/ctrlProps/ctrlProp50.xml><?xml version="1.0" encoding="utf-8"?>
<formControlPr xmlns="http://schemas.microsoft.com/office/spreadsheetml/2009/9/main" objectType="CheckBox" fmlaLink="CHECKING!$B$189" lockText="1" noThreeD="1"/>
</file>

<file path=xl/ctrlProps/ctrlProp51.xml><?xml version="1.0" encoding="utf-8"?>
<formControlPr xmlns="http://schemas.microsoft.com/office/spreadsheetml/2009/9/main" objectType="CheckBox" fmlaLink="CHECKING!$B$192" lockText="1" noThreeD="1"/>
</file>

<file path=xl/ctrlProps/ctrlProp52.xml><?xml version="1.0" encoding="utf-8"?>
<formControlPr xmlns="http://schemas.microsoft.com/office/spreadsheetml/2009/9/main" objectType="CheckBox" fmlaLink="CHECKING!$C$189" lockText="1" noThreeD="1"/>
</file>

<file path=xl/ctrlProps/ctrlProp53.xml><?xml version="1.0" encoding="utf-8"?>
<formControlPr xmlns="http://schemas.microsoft.com/office/spreadsheetml/2009/9/main" objectType="CheckBox" fmlaLink="CHECKING!$C$192" lockText="1" noThreeD="1"/>
</file>

<file path=xl/ctrlProps/ctrlProp54.xml><?xml version="1.0" encoding="utf-8"?>
<formControlPr xmlns="http://schemas.microsoft.com/office/spreadsheetml/2009/9/main" objectType="CheckBox" fmlaLink="CHECKING!$B$191" lockText="1" noThreeD="1"/>
</file>

<file path=xl/ctrlProps/ctrlProp55.xml><?xml version="1.0" encoding="utf-8"?>
<formControlPr xmlns="http://schemas.microsoft.com/office/spreadsheetml/2009/9/main" objectType="CheckBox" fmlaLink="CHECKING!$C$191" lockText="1" noThreeD="1"/>
</file>

<file path=xl/ctrlProps/ctrlProp56.xml><?xml version="1.0" encoding="utf-8"?>
<formControlPr xmlns="http://schemas.microsoft.com/office/spreadsheetml/2009/9/main" objectType="CheckBox" fmlaLink="CHECKING!$B$190" lockText="1" noThreeD="1"/>
</file>

<file path=xl/ctrlProps/ctrlProp57.xml><?xml version="1.0" encoding="utf-8"?>
<formControlPr xmlns="http://schemas.microsoft.com/office/spreadsheetml/2009/9/main" objectType="CheckBox" fmlaLink="CHECKING!$C$190" lockText="1" noThreeD="1"/>
</file>

<file path=xl/ctrlProps/ctrlProp58.xml><?xml version="1.0" encoding="utf-8"?>
<formControlPr xmlns="http://schemas.microsoft.com/office/spreadsheetml/2009/9/main" objectType="CheckBox" fmlaLink="CHECKING!$B$193" lockText="1" noThreeD="1"/>
</file>

<file path=xl/ctrlProps/ctrlProp59.xml><?xml version="1.0" encoding="utf-8"?>
<formControlPr xmlns="http://schemas.microsoft.com/office/spreadsheetml/2009/9/main" objectType="CheckBox" fmlaLink="CHECKING!$C$193" lockText="1" noThreeD="1"/>
</file>

<file path=xl/ctrlProps/ctrlProp6.xml><?xml version="1.0" encoding="utf-8"?>
<formControlPr xmlns="http://schemas.microsoft.com/office/spreadsheetml/2009/9/main" objectType="CheckBox" fmlaLink="CHECKING!$B$25" lockText="1" noThreeD="1"/>
</file>

<file path=xl/ctrlProps/ctrlProp60.xml><?xml version="1.0" encoding="utf-8"?>
<formControlPr xmlns="http://schemas.microsoft.com/office/spreadsheetml/2009/9/main" objectType="CheckBox" fmlaLink="CHECKING!$B$197" lockText="1" noThreeD="1"/>
</file>

<file path=xl/ctrlProps/ctrlProp61.xml><?xml version="1.0" encoding="utf-8"?>
<formControlPr xmlns="http://schemas.microsoft.com/office/spreadsheetml/2009/9/main" objectType="CheckBox" fmlaLink="CHECKING!$C$197" lockText="1" noThreeD="1"/>
</file>

<file path=xl/ctrlProps/ctrlProp62.xml><?xml version="1.0" encoding="utf-8"?>
<formControlPr xmlns="http://schemas.microsoft.com/office/spreadsheetml/2009/9/main" objectType="CheckBox" fmlaLink="CHECKING!$B$198" lockText="1" noThreeD="1"/>
</file>

<file path=xl/ctrlProps/ctrlProp63.xml><?xml version="1.0" encoding="utf-8"?>
<formControlPr xmlns="http://schemas.microsoft.com/office/spreadsheetml/2009/9/main" objectType="CheckBox" fmlaLink="CHECKING!$C$198" lockText="1" noThreeD="1"/>
</file>

<file path=xl/ctrlProps/ctrlProp64.xml><?xml version="1.0" encoding="utf-8"?>
<formControlPr xmlns="http://schemas.microsoft.com/office/spreadsheetml/2009/9/main" objectType="CheckBox" fmlaLink="CHECKING!$B$200" lockText="1" noThreeD="1"/>
</file>

<file path=xl/ctrlProps/ctrlProp65.xml><?xml version="1.0" encoding="utf-8"?>
<formControlPr xmlns="http://schemas.microsoft.com/office/spreadsheetml/2009/9/main" objectType="CheckBox" fmlaLink="CHECKING!$B$201" lockText="1" noThreeD="1"/>
</file>

<file path=xl/ctrlProps/ctrlProp66.xml><?xml version="1.0" encoding="utf-8"?>
<formControlPr xmlns="http://schemas.microsoft.com/office/spreadsheetml/2009/9/main" objectType="CheckBox" fmlaLink="CHECKING!$C$200" lockText="1" noThreeD="1"/>
</file>

<file path=xl/ctrlProps/ctrlProp67.xml><?xml version="1.0" encoding="utf-8"?>
<formControlPr xmlns="http://schemas.microsoft.com/office/spreadsheetml/2009/9/main" objectType="CheckBox" fmlaLink="CHECKING!$C$201" lockText="1" noThreeD="1"/>
</file>

<file path=xl/ctrlProps/ctrlProp68.xml><?xml version="1.0" encoding="utf-8"?>
<formControlPr xmlns="http://schemas.microsoft.com/office/spreadsheetml/2009/9/main" objectType="CheckBox" fmlaLink="CHECKING!$D$206" lockText="1" noThreeD="1"/>
</file>

<file path=xl/ctrlProps/ctrlProp69.xml><?xml version="1.0" encoding="utf-8"?>
<formControlPr xmlns="http://schemas.microsoft.com/office/spreadsheetml/2009/9/main" objectType="CheckBox" fmlaLink="CHECKING!$B$206" lockText="1" noThreeD="1"/>
</file>

<file path=xl/ctrlProps/ctrlProp7.xml><?xml version="1.0" encoding="utf-8"?>
<formControlPr xmlns="http://schemas.microsoft.com/office/spreadsheetml/2009/9/main" objectType="CheckBox" fmlaLink="CHECKING!$B$26" lockText="1" noThreeD="1"/>
</file>

<file path=xl/ctrlProps/ctrlProp70.xml><?xml version="1.0" encoding="utf-8"?>
<formControlPr xmlns="http://schemas.microsoft.com/office/spreadsheetml/2009/9/main" objectType="CheckBox" fmlaLink="CHECKING!$B$211" lockText="1" noThreeD="1"/>
</file>

<file path=xl/ctrlProps/ctrlProp71.xml><?xml version="1.0" encoding="utf-8"?>
<formControlPr xmlns="http://schemas.microsoft.com/office/spreadsheetml/2009/9/main" objectType="CheckBox" fmlaLink="CHECKING!$B$215" lockText="1" noThreeD="1"/>
</file>

<file path=xl/ctrlProps/ctrlProp72.xml><?xml version="1.0" encoding="utf-8"?>
<formControlPr xmlns="http://schemas.microsoft.com/office/spreadsheetml/2009/9/main" objectType="CheckBox" fmlaLink="CHECKING!$B$223" lockText="1" noThreeD="1"/>
</file>

<file path=xl/ctrlProps/ctrlProp73.xml><?xml version="1.0" encoding="utf-8"?>
<formControlPr xmlns="http://schemas.microsoft.com/office/spreadsheetml/2009/9/main" objectType="CheckBox" fmlaLink="CHECKING!$B$212" lockText="1" noThreeD="1"/>
</file>

<file path=xl/ctrlProps/ctrlProp74.xml><?xml version="1.0" encoding="utf-8"?>
<formControlPr xmlns="http://schemas.microsoft.com/office/spreadsheetml/2009/9/main" objectType="CheckBox" fmlaLink="CHECKING!$B$213"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CheckBox" checked="Checked" fmlaLink="CHECKING!$D$10" lockText="1" noThreeD="1"/>
</file>

<file path=xl/ctrlProps/ctrlProp77.xml><?xml version="1.0" encoding="utf-8"?>
<formControlPr xmlns="http://schemas.microsoft.com/office/spreadsheetml/2009/9/main" objectType="CheckBox" fmlaLink="CHECKING!$B$180" lockText="1" noThreeD="1"/>
</file>

<file path=xl/ctrlProps/ctrlProp78.xml><?xml version="1.0" encoding="utf-8"?>
<formControlPr xmlns="http://schemas.microsoft.com/office/spreadsheetml/2009/9/main" objectType="CheckBox" fmlaLink="CHECKING!$B$65" lockText="1" noThreeD="1"/>
</file>

<file path=xl/ctrlProps/ctrlProp79.xml><?xml version="1.0" encoding="utf-8"?>
<formControlPr xmlns="http://schemas.microsoft.com/office/spreadsheetml/2009/9/main" objectType="CheckBox" fmlaLink="CHECKING!$B$76" lockText="1" noThreeD="1"/>
</file>

<file path=xl/ctrlProps/ctrlProp8.xml><?xml version="1.0" encoding="utf-8"?>
<formControlPr xmlns="http://schemas.microsoft.com/office/spreadsheetml/2009/9/main" objectType="CheckBox" fmlaLink="CHECKING!$B$27" lockText="1" noThreeD="1"/>
</file>

<file path=xl/ctrlProps/ctrlProp80.xml><?xml version="1.0" encoding="utf-8"?>
<formControlPr xmlns="http://schemas.microsoft.com/office/spreadsheetml/2009/9/main" objectType="CheckBox" fmlaLink="CHECKING!$B$199" lockText="1" noThreeD="1"/>
</file>

<file path=xl/ctrlProps/ctrlProp81.xml><?xml version="1.0" encoding="utf-8"?>
<formControlPr xmlns="http://schemas.microsoft.com/office/spreadsheetml/2009/9/main" objectType="CheckBox" fmlaLink="CHECKING!$C$199" lockText="1" noThreeD="1"/>
</file>

<file path=xl/ctrlProps/ctrlProp82.xml><?xml version="1.0" encoding="utf-8"?>
<formControlPr xmlns="http://schemas.microsoft.com/office/spreadsheetml/2009/9/main" objectType="CheckBox" fmlaLink="CHECKING!$B$55" lockText="1" noThreeD="1"/>
</file>

<file path=xl/ctrlProps/ctrlProp83.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CHECKING!$B$28" lockText="1" noThreeD="1"/>
</file>

<file path=xl/drawings/_rels/vmlDrawing1.vml.rels><?xml version="1.0" encoding="UTF-8" standalone="yes"?>
<Relationships xmlns="http://schemas.openxmlformats.org/package/2006/relationships"><Relationship Id="rId8" Type="http://schemas.openxmlformats.org/officeDocument/2006/relationships/image" Target="../media/image10.emf"/><Relationship Id="rId13" Type="http://schemas.openxmlformats.org/officeDocument/2006/relationships/image" Target="../media/image5.emf"/><Relationship Id="rId18" Type="http://schemas.openxmlformats.org/officeDocument/2006/relationships/image" Target="../media/image22.emf"/><Relationship Id="rId3" Type="http://schemas.openxmlformats.org/officeDocument/2006/relationships/image" Target="../media/image15.emf"/><Relationship Id="rId21" Type="http://schemas.openxmlformats.org/officeDocument/2006/relationships/image" Target="../media/image3.emf"/><Relationship Id="rId7" Type="http://schemas.openxmlformats.org/officeDocument/2006/relationships/image" Target="../media/image11.emf"/><Relationship Id="rId12" Type="http://schemas.openxmlformats.org/officeDocument/2006/relationships/image" Target="../media/image6.emf"/><Relationship Id="rId17" Type="http://schemas.openxmlformats.org/officeDocument/2006/relationships/image" Target="../media/image21.emf"/><Relationship Id="rId2" Type="http://schemas.openxmlformats.org/officeDocument/2006/relationships/image" Target="../media/image17.emf"/><Relationship Id="rId16" Type="http://schemas.openxmlformats.org/officeDocument/2006/relationships/image" Target="../media/image20.emf"/><Relationship Id="rId20" Type="http://schemas.openxmlformats.org/officeDocument/2006/relationships/image" Target="../media/image4.emf"/><Relationship Id="rId1" Type="http://schemas.openxmlformats.org/officeDocument/2006/relationships/image" Target="../media/image16.emf"/><Relationship Id="rId6" Type="http://schemas.openxmlformats.org/officeDocument/2006/relationships/image" Target="../media/image12.emf"/><Relationship Id="rId11" Type="http://schemas.openxmlformats.org/officeDocument/2006/relationships/image" Target="../media/image7.emf"/><Relationship Id="rId5" Type="http://schemas.openxmlformats.org/officeDocument/2006/relationships/image" Target="../media/image13.emf"/><Relationship Id="rId15" Type="http://schemas.openxmlformats.org/officeDocument/2006/relationships/image" Target="../media/image19.emf"/><Relationship Id="rId23" Type="http://schemas.openxmlformats.org/officeDocument/2006/relationships/image" Target="../media/image1.emf"/><Relationship Id="rId10" Type="http://schemas.openxmlformats.org/officeDocument/2006/relationships/image" Target="../media/image8.emf"/><Relationship Id="rId19" Type="http://schemas.openxmlformats.org/officeDocument/2006/relationships/image" Target="../media/image23.emf"/><Relationship Id="rId4" Type="http://schemas.openxmlformats.org/officeDocument/2006/relationships/image" Target="../media/image14.emf"/><Relationship Id="rId9" Type="http://schemas.openxmlformats.org/officeDocument/2006/relationships/image" Target="../media/image9.emf"/><Relationship Id="rId14" Type="http://schemas.openxmlformats.org/officeDocument/2006/relationships/image" Target="../media/image18.emf"/><Relationship Id="rId22"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5.emf"/><Relationship Id="rId1" Type="http://schemas.openxmlformats.org/officeDocument/2006/relationships/image" Target="../media/image2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609600</xdr:colOff>
          <xdr:row>80</xdr:row>
          <xdr:rowOff>19050</xdr:rowOff>
        </xdr:from>
        <xdr:to>
          <xdr:col>7</xdr:col>
          <xdr:colOff>581025</xdr:colOff>
          <xdr:row>83</xdr:row>
          <xdr:rowOff>152400</xdr:rowOff>
        </xdr:to>
        <xdr:sp macro="" textlink="">
          <xdr:nvSpPr>
            <xdr:cNvPr id="1025" name="Group Box 1" descr="OUT- or IN- Country application"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OUT- or IN- Country application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80</xdr:row>
          <xdr:rowOff>171450</xdr:rowOff>
        </xdr:from>
        <xdr:to>
          <xdr:col>7</xdr:col>
          <xdr:colOff>409575</xdr:colOff>
          <xdr:row>82</xdr:row>
          <xdr:rowOff>38100</xdr:rowOff>
        </xdr:to>
        <xdr:sp macro="" textlink="">
          <xdr:nvSpPr>
            <xdr:cNvPr id="1029" name="OptionButton1"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82</xdr:row>
          <xdr:rowOff>19050</xdr:rowOff>
        </xdr:from>
        <xdr:to>
          <xdr:col>7</xdr:col>
          <xdr:colOff>419100</xdr:colOff>
          <xdr:row>83</xdr:row>
          <xdr:rowOff>66675</xdr:rowOff>
        </xdr:to>
        <xdr:sp macro="" textlink="">
          <xdr:nvSpPr>
            <xdr:cNvPr id="1030" name="OptionButton2"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88</xdr:row>
          <xdr:rowOff>171450</xdr:rowOff>
        </xdr:from>
        <xdr:to>
          <xdr:col>12</xdr:col>
          <xdr:colOff>419100</xdr:colOff>
          <xdr:row>89</xdr:row>
          <xdr:rowOff>152400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previous Tier 2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90</xdr:row>
          <xdr:rowOff>161925</xdr:rowOff>
        </xdr:from>
        <xdr:to>
          <xdr:col>12</xdr:col>
          <xdr:colOff>285750</xdr:colOff>
          <xdr:row>91</xdr:row>
          <xdr:rowOff>190500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1st Tier 2 issued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120</xdr:row>
          <xdr:rowOff>47625</xdr:rowOff>
        </xdr:from>
        <xdr:to>
          <xdr:col>9</xdr:col>
          <xdr:colOff>28575</xdr:colOff>
          <xdr:row>145</xdr:row>
          <xdr:rowOff>76200</xdr:rowOff>
        </xdr:to>
        <xdr:sp macro="" textlink="">
          <xdr:nvSpPr>
            <xdr:cNvPr id="1039" name="Group Box 15" descr="English_language_requirement" hidden="1">
              <a:extLst>
                <a:ext uri="{63B3BB69-23CF-44E3-9099-C40C66FF867C}">
                  <a14:compatExt spid="_x0000_s1039"/>
                </a:ext>
                <a:ext uri="{FF2B5EF4-FFF2-40B4-BE49-F238E27FC236}">
                  <a16:creationId xmlns:a16="http://schemas.microsoft.com/office/drawing/2014/main" id="{00000000-0008-0000-02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121</xdr:row>
          <xdr:rowOff>9525</xdr:rowOff>
        </xdr:from>
        <xdr:to>
          <xdr:col>8</xdr:col>
          <xdr:colOff>447675</xdr:colOff>
          <xdr:row>122</xdr:row>
          <xdr:rowOff>57150</xdr:rowOff>
        </xdr:to>
        <xdr:sp macro="" textlink="">
          <xdr:nvSpPr>
            <xdr:cNvPr id="1040" name="English_speaking_country" hidden="1">
              <a:extLst>
                <a:ext uri="{63B3BB69-23CF-44E3-9099-C40C66FF867C}">
                  <a14:compatExt spid="_x0000_s1040"/>
                </a:ext>
                <a:ext uri="{FF2B5EF4-FFF2-40B4-BE49-F238E27FC236}">
                  <a16:creationId xmlns:a16="http://schemas.microsoft.com/office/drawing/2014/main" id="{00000000-0008-0000-02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125</xdr:row>
          <xdr:rowOff>19050</xdr:rowOff>
        </xdr:from>
        <xdr:to>
          <xdr:col>8</xdr:col>
          <xdr:colOff>476250</xdr:colOff>
          <xdr:row>126</xdr:row>
          <xdr:rowOff>114300</xdr:rowOff>
        </xdr:to>
        <xdr:sp macro="" textlink="">
          <xdr:nvSpPr>
            <xdr:cNvPr id="1041" name="UK_University_qualification" hidden="1">
              <a:extLst>
                <a:ext uri="{63B3BB69-23CF-44E3-9099-C40C66FF867C}">
                  <a14:compatExt spid="_x0000_s1041"/>
                </a:ext>
                <a:ext uri="{FF2B5EF4-FFF2-40B4-BE49-F238E27FC236}">
                  <a16:creationId xmlns:a16="http://schemas.microsoft.com/office/drawing/2014/main" id="{00000000-0008-0000-02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127</xdr:row>
          <xdr:rowOff>0</xdr:rowOff>
        </xdr:from>
        <xdr:to>
          <xdr:col>8</xdr:col>
          <xdr:colOff>600075</xdr:colOff>
          <xdr:row>130</xdr:row>
          <xdr:rowOff>76200</xdr:rowOff>
        </xdr:to>
        <xdr:sp macro="" textlink="">
          <xdr:nvSpPr>
            <xdr:cNvPr id="1042" name="UK_NARIC" hidden="1">
              <a:extLst>
                <a:ext uri="{63B3BB69-23CF-44E3-9099-C40C66FF867C}">
                  <a14:compatExt spid="_x0000_s1042"/>
                </a:ext>
                <a:ext uri="{FF2B5EF4-FFF2-40B4-BE49-F238E27FC236}">
                  <a16:creationId xmlns:a16="http://schemas.microsoft.com/office/drawing/2014/main" id="{00000000-0008-0000-02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314325</xdr:colOff>
          <xdr:row>134</xdr:row>
          <xdr:rowOff>104775</xdr:rowOff>
        </xdr:from>
        <xdr:to>
          <xdr:col>8</xdr:col>
          <xdr:colOff>590550</xdr:colOff>
          <xdr:row>137</xdr:row>
          <xdr:rowOff>57150</xdr:rowOff>
        </xdr:to>
        <xdr:sp macro="" textlink="">
          <xdr:nvSpPr>
            <xdr:cNvPr id="1043" name="English_test" hidden="1">
              <a:extLst>
                <a:ext uri="{63B3BB69-23CF-44E3-9099-C40C66FF867C}">
                  <a14:compatExt spid="_x0000_s1043"/>
                </a:ext>
                <a:ext uri="{FF2B5EF4-FFF2-40B4-BE49-F238E27FC236}">
                  <a16:creationId xmlns:a16="http://schemas.microsoft.com/office/drawing/2014/main" id="{00000000-0008-0000-02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304800</xdr:colOff>
          <xdr:row>141</xdr:row>
          <xdr:rowOff>114300</xdr:rowOff>
        </xdr:from>
        <xdr:to>
          <xdr:col>8</xdr:col>
          <xdr:colOff>676275</xdr:colOff>
          <xdr:row>143</xdr:row>
          <xdr:rowOff>28575</xdr:rowOff>
        </xdr:to>
        <xdr:sp macro="" textlink="">
          <xdr:nvSpPr>
            <xdr:cNvPr id="1044" name="Previously_met" hidden="1">
              <a:extLst>
                <a:ext uri="{63B3BB69-23CF-44E3-9099-C40C66FF867C}">
                  <a14:compatExt spid="_x0000_s1044"/>
                </a:ext>
                <a:ext uri="{FF2B5EF4-FFF2-40B4-BE49-F238E27FC236}">
                  <a16:creationId xmlns:a16="http://schemas.microsoft.com/office/drawing/2014/main" id="{00000000-0008-0000-02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120</xdr:row>
          <xdr:rowOff>152400</xdr:rowOff>
        </xdr:from>
        <xdr:to>
          <xdr:col>12</xdr:col>
          <xdr:colOff>361950</xdr:colOff>
          <xdr:row>122</xdr:row>
          <xdr:rowOff>57150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2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 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190500</xdr:rowOff>
        </xdr:from>
        <xdr:to>
          <xdr:col>9</xdr:col>
          <xdr:colOff>638175</xdr:colOff>
          <xdr:row>158</xdr:row>
          <xdr:rowOff>9525</xdr:rowOff>
        </xdr:to>
        <xdr:sp macro="" textlink="">
          <xdr:nvSpPr>
            <xdr:cNvPr id="1055" name="ComboBox1" hidden="1">
              <a:extLst>
                <a:ext uri="{63B3BB69-23CF-44E3-9099-C40C66FF867C}">
                  <a14:compatExt spid="_x0000_s1055"/>
                </a:ext>
                <a:ext uri="{FF2B5EF4-FFF2-40B4-BE49-F238E27FC236}">
                  <a16:creationId xmlns:a16="http://schemas.microsoft.com/office/drawing/2014/main" id="{00000000-0008-0000-02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190500</xdr:rowOff>
        </xdr:from>
        <xdr:to>
          <xdr:col>9</xdr:col>
          <xdr:colOff>609600</xdr:colOff>
          <xdr:row>163</xdr:row>
          <xdr:rowOff>0</xdr:rowOff>
        </xdr:to>
        <xdr:sp macro="" textlink="">
          <xdr:nvSpPr>
            <xdr:cNvPr id="1059" name="ComboBox2" hidden="1">
              <a:extLst>
                <a:ext uri="{63B3BB69-23CF-44E3-9099-C40C66FF867C}">
                  <a14:compatExt spid="_x0000_s1059"/>
                </a:ext>
                <a:ext uri="{FF2B5EF4-FFF2-40B4-BE49-F238E27FC236}">
                  <a16:creationId xmlns:a16="http://schemas.microsoft.com/office/drawing/2014/main" id="{00000000-0008-0000-02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162</xdr:row>
          <xdr:rowOff>190500</xdr:rowOff>
        </xdr:from>
        <xdr:to>
          <xdr:col>9</xdr:col>
          <xdr:colOff>552450</xdr:colOff>
          <xdr:row>164</xdr:row>
          <xdr:rowOff>19050</xdr:rowOff>
        </xdr:to>
        <xdr:sp macro="" textlink="">
          <xdr:nvSpPr>
            <xdr:cNvPr id="1060" name="ComboBox3" hidden="1">
              <a:extLst>
                <a:ext uri="{63B3BB69-23CF-44E3-9099-C40C66FF867C}">
                  <a14:compatExt spid="_x0000_s1060"/>
                </a:ext>
                <a:ext uri="{FF2B5EF4-FFF2-40B4-BE49-F238E27FC236}">
                  <a16:creationId xmlns:a16="http://schemas.microsoft.com/office/drawing/2014/main" id="{00000000-0008-0000-02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159</xdr:row>
          <xdr:rowOff>0</xdr:rowOff>
        </xdr:from>
        <xdr:to>
          <xdr:col>9</xdr:col>
          <xdr:colOff>561975</xdr:colOff>
          <xdr:row>160</xdr:row>
          <xdr:rowOff>19050</xdr:rowOff>
        </xdr:to>
        <xdr:sp macro="" textlink="">
          <xdr:nvSpPr>
            <xdr:cNvPr id="1061" name="ComboBox4" hidden="1">
              <a:extLst>
                <a:ext uri="{63B3BB69-23CF-44E3-9099-C40C66FF867C}">
                  <a14:compatExt spid="_x0000_s1061"/>
                </a:ext>
                <a:ext uri="{FF2B5EF4-FFF2-40B4-BE49-F238E27FC236}">
                  <a16:creationId xmlns:a16="http://schemas.microsoft.com/office/drawing/2014/main" id="{00000000-0008-0000-02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0</xdr:rowOff>
        </xdr:from>
        <xdr:to>
          <xdr:col>12</xdr:col>
          <xdr:colOff>9525</xdr:colOff>
          <xdr:row>153</xdr:row>
          <xdr:rowOff>19050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2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152</xdr:row>
          <xdr:rowOff>190500</xdr:rowOff>
        </xdr:from>
        <xdr:to>
          <xdr:col>11</xdr:col>
          <xdr:colOff>533400</xdr:colOff>
          <xdr:row>154</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2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Last name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153</xdr:row>
          <xdr:rowOff>190500</xdr:rowOff>
        </xdr:from>
        <xdr:to>
          <xdr:col>11</xdr:col>
          <xdr:colOff>495300</xdr:colOff>
          <xdr:row>155</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2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First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154</xdr:row>
          <xdr:rowOff>190500</xdr:rowOff>
        </xdr:from>
        <xdr:to>
          <xdr:col>11</xdr:col>
          <xdr:colOff>495300</xdr:colOff>
          <xdr:row>156</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2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name(s)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156</xdr:row>
          <xdr:rowOff>171450</xdr:rowOff>
        </xdr:from>
        <xdr:to>
          <xdr:col>11</xdr:col>
          <xdr:colOff>581025</xdr:colOff>
          <xdr:row>157</xdr:row>
          <xdr:rowOff>190500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2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Nationality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157</xdr:row>
          <xdr:rowOff>171450</xdr:rowOff>
        </xdr:from>
        <xdr:to>
          <xdr:col>11</xdr:col>
          <xdr:colOff>504825</xdr:colOff>
          <xdr:row>158</xdr:row>
          <xdr:rowOff>190500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2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City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158</xdr:row>
          <xdr:rowOff>180975</xdr:rowOff>
        </xdr:from>
        <xdr:to>
          <xdr:col>11</xdr:col>
          <xdr:colOff>514350</xdr:colOff>
          <xdr:row>160</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2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160</xdr:row>
          <xdr:rowOff>190500</xdr:rowOff>
        </xdr:from>
        <xdr:to>
          <xdr:col>12</xdr:col>
          <xdr:colOff>209550</xdr:colOff>
          <xdr:row>162</xdr:row>
          <xdr:rowOff>9525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2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Other nationalities?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161</xdr:row>
          <xdr:rowOff>171450</xdr:rowOff>
        </xdr:from>
        <xdr:to>
          <xdr:col>12</xdr:col>
          <xdr:colOff>180975</xdr:colOff>
          <xdr:row>162</xdr:row>
          <xdr:rowOff>190500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2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162</xdr:row>
          <xdr:rowOff>180975</xdr:rowOff>
        </xdr:from>
        <xdr:to>
          <xdr:col>12</xdr:col>
          <xdr:colOff>219075</xdr:colOff>
          <xdr:row>164</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2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 Nationality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647700</xdr:colOff>
          <xdr:row>176</xdr:row>
          <xdr:rowOff>0</xdr:rowOff>
        </xdr:from>
        <xdr:to>
          <xdr:col>9</xdr:col>
          <xdr:colOff>466725</xdr:colOff>
          <xdr:row>177</xdr:row>
          <xdr:rowOff>57150</xdr:rowOff>
        </xdr:to>
        <xdr:sp macro="" textlink="">
          <xdr:nvSpPr>
            <xdr:cNvPr id="1075" name="ComboBox5" hidden="1">
              <a:extLst>
                <a:ext uri="{63B3BB69-23CF-44E3-9099-C40C66FF867C}">
                  <a14:compatExt spid="_x0000_s1075"/>
                </a:ext>
                <a:ext uri="{FF2B5EF4-FFF2-40B4-BE49-F238E27FC236}">
                  <a16:creationId xmlns:a16="http://schemas.microsoft.com/office/drawing/2014/main" id="{00000000-0008-0000-02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165</xdr:row>
          <xdr:rowOff>180975</xdr:rowOff>
        </xdr:from>
        <xdr:to>
          <xdr:col>11</xdr:col>
          <xdr:colOff>542925</xdr:colOff>
          <xdr:row>167</xdr:row>
          <xdr:rowOff>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2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Date of birth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167</xdr:row>
          <xdr:rowOff>0</xdr:rowOff>
        </xdr:from>
        <xdr:to>
          <xdr:col>11</xdr:col>
          <xdr:colOff>561975</xdr:colOff>
          <xdr:row>168</xdr:row>
          <xdr:rowOff>28575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2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Gender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168</xdr:row>
          <xdr:rowOff>180975</xdr:rowOff>
        </xdr:from>
        <xdr:to>
          <xdr:col>12</xdr:col>
          <xdr:colOff>228600</xdr:colOff>
          <xdr:row>170</xdr:row>
          <xdr:rowOff>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2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 number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170</xdr:row>
          <xdr:rowOff>180975</xdr:rowOff>
        </xdr:from>
        <xdr:to>
          <xdr:col>12</xdr:col>
          <xdr:colOff>85725</xdr:colOff>
          <xdr:row>172</xdr:row>
          <xdr:rowOff>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2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issue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123825</xdr:colOff>
          <xdr:row>171</xdr:row>
          <xdr:rowOff>190500</xdr:rowOff>
        </xdr:from>
        <xdr:to>
          <xdr:col>12</xdr:col>
          <xdr:colOff>123825</xdr:colOff>
          <xdr:row>173</xdr:row>
          <xdr:rowOff>9525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2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expiry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174</xdr:row>
          <xdr:rowOff>190500</xdr:rowOff>
        </xdr:from>
        <xdr:to>
          <xdr:col>12</xdr:col>
          <xdr:colOff>9525</xdr:colOff>
          <xdr:row>176</xdr:row>
          <xdr:rowOff>9525</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2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city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175</xdr:row>
          <xdr:rowOff>190500</xdr:rowOff>
        </xdr:from>
        <xdr:to>
          <xdr:col>12</xdr:col>
          <xdr:colOff>123825</xdr:colOff>
          <xdr:row>177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2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P/port country of issue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180975</xdr:rowOff>
        </xdr:from>
        <xdr:to>
          <xdr:col>9</xdr:col>
          <xdr:colOff>552450</xdr:colOff>
          <xdr:row>181</xdr:row>
          <xdr:rowOff>0</xdr:rowOff>
        </xdr:to>
        <xdr:sp macro="" textlink="">
          <xdr:nvSpPr>
            <xdr:cNvPr id="1084" name="ComboBox6" hidden="1">
              <a:extLst>
                <a:ext uri="{63B3BB69-23CF-44E3-9099-C40C66FF867C}">
                  <a14:compatExt spid="_x0000_s1084"/>
                </a:ext>
                <a:ext uri="{FF2B5EF4-FFF2-40B4-BE49-F238E27FC236}">
                  <a16:creationId xmlns:a16="http://schemas.microsoft.com/office/drawing/2014/main" id="{00000000-0008-0000-02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179</xdr:row>
          <xdr:rowOff>171450</xdr:rowOff>
        </xdr:from>
        <xdr:to>
          <xdr:col>12</xdr:col>
          <xdr:colOff>381000</xdr:colOff>
          <xdr:row>180</xdr:row>
          <xdr:rowOff>190500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2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Country of residence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183</xdr:row>
          <xdr:rowOff>0</xdr:rowOff>
        </xdr:from>
        <xdr:to>
          <xdr:col>12</xdr:col>
          <xdr:colOff>323850</xdr:colOff>
          <xdr:row>184</xdr:row>
          <xdr:rowOff>28575</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2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Residential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189</xdr:row>
          <xdr:rowOff>180975</xdr:rowOff>
        </xdr:from>
        <xdr:to>
          <xdr:col>12</xdr:col>
          <xdr:colOff>133350</xdr:colOff>
          <xdr:row>191</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2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email address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244</xdr:row>
          <xdr:rowOff>180975</xdr:rowOff>
        </xdr:from>
        <xdr:to>
          <xdr:col>11</xdr:col>
          <xdr:colOff>590550</xdr:colOff>
          <xdr:row>246</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2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NINo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216</xdr:row>
          <xdr:rowOff>9525</xdr:rowOff>
        </xdr:from>
        <xdr:to>
          <xdr:col>11</xdr:col>
          <xdr:colOff>523875</xdr:colOff>
          <xdr:row>217</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2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TB pre-screening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262</xdr:row>
          <xdr:rowOff>142875</xdr:rowOff>
        </xdr:from>
        <xdr:to>
          <xdr:col>12</xdr:col>
          <xdr:colOff>419100</xdr:colOff>
          <xdr:row>263</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2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start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265</xdr:row>
          <xdr:rowOff>161925</xdr:rowOff>
        </xdr:from>
        <xdr:to>
          <xdr:col>12</xdr:col>
          <xdr:colOff>66675</xdr:colOff>
          <xdr:row>267</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2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 end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282</xdr:row>
          <xdr:rowOff>123825</xdr:rowOff>
        </xdr:from>
        <xdr:to>
          <xdr:col>12</xdr:col>
          <xdr:colOff>47625</xdr:colOff>
          <xdr:row>283</xdr:row>
          <xdr:rowOff>152400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2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NHS Surcharge discussed?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282</xdr:row>
          <xdr:rowOff>133350</xdr:rowOff>
        </xdr:from>
        <xdr:to>
          <xdr:col>9</xdr:col>
          <xdr:colOff>381000</xdr:colOff>
          <xdr:row>283</xdr:row>
          <xdr:rowOff>180975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2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287</xdr:row>
          <xdr:rowOff>171450</xdr:rowOff>
        </xdr:from>
        <xdr:to>
          <xdr:col>12</xdr:col>
          <xdr:colOff>161925</xdr:colOff>
          <xdr:row>289</xdr:row>
          <xdr:rowOff>85725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2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Multiple entry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292</xdr:row>
          <xdr:rowOff>0</xdr:rowOff>
        </xdr:from>
        <xdr:to>
          <xdr:col>11</xdr:col>
          <xdr:colOff>523875</xdr:colOff>
          <xdr:row>293</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2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Hours of work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293</xdr:row>
          <xdr:rowOff>114300</xdr:rowOff>
        </xdr:from>
        <xdr:to>
          <xdr:col>11</xdr:col>
          <xdr:colOff>523875</xdr:colOff>
          <xdr:row>294</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2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300</xdr:row>
          <xdr:rowOff>114300</xdr:rowOff>
        </xdr:from>
        <xdr:to>
          <xdr:col>12</xdr:col>
          <xdr:colOff>371475</xdr:colOff>
          <xdr:row>301</xdr:row>
          <xdr:rowOff>161925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2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308</xdr:row>
          <xdr:rowOff>171450</xdr:rowOff>
        </xdr:from>
        <xdr:to>
          <xdr:col>12</xdr:col>
          <xdr:colOff>228600</xdr:colOff>
          <xdr:row>310</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2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Additional work location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316</xdr:row>
          <xdr:rowOff>133350</xdr:rowOff>
        </xdr:from>
        <xdr:to>
          <xdr:col>12</xdr:col>
          <xdr:colOff>361950</xdr:colOff>
          <xdr:row>317</xdr:row>
          <xdr:rowOff>104775</xdr:rowOff>
        </xdr:to>
        <xdr:sp macro="" textlink="">
          <xdr:nvSpPr>
            <xdr:cNvPr id="1107" name="Check Box 83" descr="Further add. work locations" hidden="1">
              <a:extLst>
                <a:ext uri="{63B3BB69-23CF-44E3-9099-C40C66FF867C}">
                  <a14:compatExt spid="_x0000_s1107"/>
                </a:ext>
                <a:ext uri="{FF2B5EF4-FFF2-40B4-BE49-F238E27FC236}">
                  <a16:creationId xmlns:a16="http://schemas.microsoft.com/office/drawing/2014/main" id="{00000000-0008-0000-02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Further add. work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324</xdr:row>
          <xdr:rowOff>190500</xdr:rowOff>
        </xdr:from>
        <xdr:to>
          <xdr:col>12</xdr:col>
          <xdr:colOff>314325</xdr:colOff>
          <xdr:row>326</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2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Job title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328</xdr:row>
          <xdr:rowOff>114300</xdr:rowOff>
        </xdr:from>
        <xdr:to>
          <xdr:col>11</xdr:col>
          <xdr:colOff>428625</xdr:colOff>
          <xdr:row>329</xdr:row>
          <xdr:rowOff>142875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2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 duties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76200</xdr:colOff>
          <xdr:row>354</xdr:row>
          <xdr:rowOff>142875</xdr:rowOff>
        </xdr:from>
        <xdr:to>
          <xdr:col>11</xdr:col>
          <xdr:colOff>561975</xdr:colOff>
          <xdr:row>355</xdr:row>
          <xdr:rowOff>180975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2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361</xdr:row>
          <xdr:rowOff>180975</xdr:rowOff>
        </xdr:from>
        <xdr:to>
          <xdr:col>11</xdr:col>
          <xdr:colOff>419100</xdr:colOff>
          <xdr:row>363</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2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Annual pay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381</xdr:row>
          <xdr:rowOff>171450</xdr:rowOff>
        </xdr:from>
        <xdr:to>
          <xdr:col>8</xdr:col>
          <xdr:colOff>447675</xdr:colOff>
          <xdr:row>383</xdr:row>
          <xdr:rowOff>114300</xdr:rowOff>
        </xdr:to>
        <xdr:sp macro="" textlink="">
          <xdr:nvSpPr>
            <xdr:cNvPr id="1118" name="OptionButton5" hidden="1">
              <a:extLst>
                <a:ext uri="{63B3BB69-23CF-44E3-9099-C40C66FF867C}">
                  <a14:compatExt spid="_x0000_s1118"/>
                </a:ext>
                <a:ext uri="{FF2B5EF4-FFF2-40B4-BE49-F238E27FC236}">
                  <a16:creationId xmlns:a16="http://schemas.microsoft.com/office/drawing/2014/main" id="{00000000-0008-0000-02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383</xdr:row>
          <xdr:rowOff>85725</xdr:rowOff>
        </xdr:from>
        <xdr:to>
          <xdr:col>8</xdr:col>
          <xdr:colOff>400050</xdr:colOff>
          <xdr:row>385</xdr:row>
          <xdr:rowOff>19050</xdr:rowOff>
        </xdr:to>
        <xdr:sp macro="" textlink="">
          <xdr:nvSpPr>
            <xdr:cNvPr id="1119" name="OptionButton6" hidden="1">
              <a:extLst>
                <a:ext uri="{63B3BB69-23CF-44E3-9099-C40C66FF867C}">
                  <a14:compatExt spid="_x0000_s1119"/>
                </a:ext>
                <a:ext uri="{FF2B5EF4-FFF2-40B4-BE49-F238E27FC236}">
                  <a16:creationId xmlns:a16="http://schemas.microsoft.com/office/drawing/2014/main" id="{00000000-0008-0000-02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385</xdr:row>
          <xdr:rowOff>66675</xdr:rowOff>
        </xdr:from>
        <xdr:to>
          <xdr:col>8</xdr:col>
          <xdr:colOff>495300</xdr:colOff>
          <xdr:row>387</xdr:row>
          <xdr:rowOff>171450</xdr:rowOff>
        </xdr:to>
        <xdr:sp macro="" textlink="">
          <xdr:nvSpPr>
            <xdr:cNvPr id="1120" name="OptionButton7" hidden="1">
              <a:extLst>
                <a:ext uri="{63B3BB69-23CF-44E3-9099-C40C66FF867C}">
                  <a14:compatExt spid="_x0000_s1120"/>
                </a:ext>
                <a:ext uri="{FF2B5EF4-FFF2-40B4-BE49-F238E27FC236}">
                  <a16:creationId xmlns:a16="http://schemas.microsoft.com/office/drawing/2014/main" id="{00000000-0008-0000-02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387</xdr:row>
          <xdr:rowOff>142875</xdr:rowOff>
        </xdr:from>
        <xdr:to>
          <xdr:col>8</xdr:col>
          <xdr:colOff>457200</xdr:colOff>
          <xdr:row>389</xdr:row>
          <xdr:rowOff>66675</xdr:rowOff>
        </xdr:to>
        <xdr:sp macro="" textlink="">
          <xdr:nvSpPr>
            <xdr:cNvPr id="1124" name="OptionButton11" hidden="1">
              <a:extLst>
                <a:ext uri="{63B3BB69-23CF-44E3-9099-C40C66FF867C}">
                  <a14:compatExt spid="_x0000_s1124"/>
                </a:ext>
                <a:ext uri="{FF2B5EF4-FFF2-40B4-BE49-F238E27FC236}">
                  <a16:creationId xmlns:a16="http://schemas.microsoft.com/office/drawing/2014/main" id="{00000000-0008-0000-02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381</xdr:row>
          <xdr:rowOff>47625</xdr:rowOff>
        </xdr:from>
        <xdr:to>
          <xdr:col>12</xdr:col>
          <xdr:colOff>152400</xdr:colOff>
          <xdr:row>382</xdr:row>
          <xdr:rowOff>76200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2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N.E. Switching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104775</xdr:colOff>
          <xdr:row>348</xdr:row>
          <xdr:rowOff>9525</xdr:rowOff>
        </xdr:from>
        <xdr:to>
          <xdr:col>12</xdr:col>
          <xdr:colOff>457200</xdr:colOff>
          <xdr:row>350</xdr:row>
          <xdr:rowOff>66675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2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Overseas Criminal Records Certificates requirement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392</xdr:row>
          <xdr:rowOff>152400</xdr:rowOff>
        </xdr:from>
        <xdr:to>
          <xdr:col>8</xdr:col>
          <xdr:colOff>419100</xdr:colOff>
          <xdr:row>394</xdr:row>
          <xdr:rowOff>76200</xdr:rowOff>
        </xdr:to>
        <xdr:sp macro="" textlink="">
          <xdr:nvSpPr>
            <xdr:cNvPr id="1127" name="OptionButton12" hidden="1">
              <a:extLst>
                <a:ext uri="{63B3BB69-23CF-44E3-9099-C40C66FF867C}">
                  <a14:compatExt spid="_x0000_s1127"/>
                </a:ext>
                <a:ext uri="{FF2B5EF4-FFF2-40B4-BE49-F238E27FC236}">
                  <a16:creationId xmlns:a16="http://schemas.microsoft.com/office/drawing/2014/main" id="{00000000-0008-0000-02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394</xdr:row>
          <xdr:rowOff>161925</xdr:rowOff>
        </xdr:from>
        <xdr:to>
          <xdr:col>8</xdr:col>
          <xdr:colOff>447675</xdr:colOff>
          <xdr:row>396</xdr:row>
          <xdr:rowOff>28575</xdr:rowOff>
        </xdr:to>
        <xdr:sp macro="" textlink="">
          <xdr:nvSpPr>
            <xdr:cNvPr id="1128" name="OptionButton13" hidden="1">
              <a:extLst>
                <a:ext uri="{63B3BB69-23CF-44E3-9099-C40C66FF867C}">
                  <a14:compatExt spid="_x0000_s1128"/>
                </a:ext>
                <a:ext uri="{FF2B5EF4-FFF2-40B4-BE49-F238E27FC236}">
                  <a16:creationId xmlns:a16="http://schemas.microsoft.com/office/drawing/2014/main" id="{00000000-0008-0000-02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391</xdr:row>
          <xdr:rowOff>0</xdr:rowOff>
        </xdr:from>
        <xdr:to>
          <xdr:col>12</xdr:col>
          <xdr:colOff>276225</xdr:colOff>
          <xdr:row>392</xdr:row>
          <xdr:rowOff>152400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2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completed or 12 months PhD/DPhil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396</xdr:row>
          <xdr:rowOff>190500</xdr:rowOff>
        </xdr:from>
        <xdr:to>
          <xdr:col>12</xdr:col>
          <xdr:colOff>209550</xdr:colOff>
          <xdr:row>398</xdr:row>
          <xdr:rowOff>19050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2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Oxford Tier 4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404</xdr:row>
          <xdr:rowOff>190500</xdr:rowOff>
        </xdr:from>
        <xdr:to>
          <xdr:col>12</xdr:col>
          <xdr:colOff>400050</xdr:colOff>
          <xdr:row>406</xdr:row>
          <xdr:rowOff>38100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2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funder consent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455</xdr:row>
          <xdr:rowOff>19050</xdr:rowOff>
        </xdr:from>
        <xdr:to>
          <xdr:col>10</xdr:col>
          <xdr:colOff>85725</xdr:colOff>
          <xdr:row>456</xdr:row>
          <xdr:rowOff>57150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2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457</xdr:row>
          <xdr:rowOff>0</xdr:rowOff>
        </xdr:from>
        <xdr:to>
          <xdr:col>10</xdr:col>
          <xdr:colOff>238125</xdr:colOff>
          <xdr:row>458</xdr:row>
          <xdr:rowOff>28575</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2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458</xdr:row>
          <xdr:rowOff>180975</xdr:rowOff>
        </xdr:from>
        <xdr:to>
          <xdr:col>10</xdr:col>
          <xdr:colOff>238125</xdr:colOff>
          <xdr:row>460</xdr:row>
          <xdr:rowOff>28575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2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209550</xdr:colOff>
          <xdr:row>465</xdr:row>
          <xdr:rowOff>171450</xdr:rowOff>
        </xdr:from>
        <xdr:to>
          <xdr:col>0</xdr:col>
          <xdr:colOff>561975</xdr:colOff>
          <xdr:row>467</xdr:row>
          <xdr:rowOff>38100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2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479</xdr:row>
          <xdr:rowOff>0</xdr:rowOff>
        </xdr:from>
        <xdr:to>
          <xdr:col>0</xdr:col>
          <xdr:colOff>571500</xdr:colOff>
          <xdr:row>480</xdr:row>
          <xdr:rowOff>76200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2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465</xdr:row>
          <xdr:rowOff>180975</xdr:rowOff>
        </xdr:from>
        <xdr:to>
          <xdr:col>11</xdr:col>
          <xdr:colOff>523875</xdr:colOff>
          <xdr:row>467</xdr:row>
          <xdr:rowOff>28575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2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Passport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479</xdr:row>
          <xdr:rowOff>0</xdr:rowOff>
        </xdr:from>
        <xdr:to>
          <xdr:col>12</xdr:col>
          <xdr:colOff>381000</xdr:colOff>
          <xdr:row>480</xdr:row>
          <xdr:rowOff>28575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2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Client care &amp; conditions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474</xdr:row>
          <xdr:rowOff>152400</xdr:rowOff>
        </xdr:from>
        <xdr:to>
          <xdr:col>0</xdr:col>
          <xdr:colOff>571500</xdr:colOff>
          <xdr:row>476</xdr:row>
          <xdr:rowOff>38100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2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475</xdr:row>
          <xdr:rowOff>0</xdr:rowOff>
        </xdr:from>
        <xdr:to>
          <xdr:col>12</xdr:col>
          <xdr:colOff>38100</xdr:colOff>
          <xdr:row>476</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2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 - UK visas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468</xdr:row>
          <xdr:rowOff>133350</xdr:rowOff>
        </xdr:from>
        <xdr:to>
          <xdr:col>0</xdr:col>
          <xdr:colOff>571500</xdr:colOff>
          <xdr:row>470</xdr:row>
          <xdr:rowOff>19050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2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469</xdr:row>
          <xdr:rowOff>38100</xdr:rowOff>
        </xdr:from>
        <xdr:to>
          <xdr:col>11</xdr:col>
          <xdr:colOff>581025</xdr:colOff>
          <xdr:row>470</xdr:row>
          <xdr:rowOff>19050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2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OUT - non UK visa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485</xdr:row>
          <xdr:rowOff>142875</xdr:rowOff>
        </xdr:from>
        <xdr:to>
          <xdr:col>0</xdr:col>
          <xdr:colOff>581025</xdr:colOff>
          <xdr:row>487</xdr:row>
          <xdr:rowOff>76200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2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486</xdr:row>
          <xdr:rowOff>0</xdr:rowOff>
        </xdr:from>
        <xdr:to>
          <xdr:col>12</xdr:col>
          <xdr:colOff>190500</xdr:colOff>
          <xdr:row>487</xdr:row>
          <xdr:rowOff>38100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2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Qualifications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502</xdr:row>
          <xdr:rowOff>142875</xdr:rowOff>
        </xdr:from>
        <xdr:to>
          <xdr:col>0</xdr:col>
          <xdr:colOff>581025</xdr:colOff>
          <xdr:row>504</xdr:row>
          <xdr:rowOff>76200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2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503</xdr:row>
          <xdr:rowOff>9525</xdr:rowOff>
        </xdr:from>
        <xdr:to>
          <xdr:col>11</xdr:col>
          <xdr:colOff>514350</xdr:colOff>
          <xdr:row>505</xdr:row>
          <xdr:rowOff>38100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2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Registration / Accreditation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507</xdr:row>
          <xdr:rowOff>0</xdr:rowOff>
        </xdr:from>
        <xdr:to>
          <xdr:col>0</xdr:col>
          <xdr:colOff>581025</xdr:colOff>
          <xdr:row>508</xdr:row>
          <xdr:rowOff>123825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2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507</xdr:row>
          <xdr:rowOff>0</xdr:rowOff>
        </xdr:from>
        <xdr:to>
          <xdr:col>12</xdr:col>
          <xdr:colOff>0</xdr:colOff>
          <xdr:row>508</xdr:row>
          <xdr:rowOff>38100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2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JD / FPs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513</xdr:row>
          <xdr:rowOff>0</xdr:rowOff>
        </xdr:from>
        <xdr:to>
          <xdr:col>0</xdr:col>
          <xdr:colOff>581025</xdr:colOff>
          <xdr:row>514</xdr:row>
          <xdr:rowOff>123825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2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521</xdr:row>
          <xdr:rowOff>133350</xdr:rowOff>
        </xdr:from>
        <xdr:to>
          <xdr:col>0</xdr:col>
          <xdr:colOff>581025</xdr:colOff>
          <xdr:row>523</xdr:row>
          <xdr:rowOff>66675</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2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513</xdr:row>
          <xdr:rowOff>0</xdr:rowOff>
        </xdr:from>
        <xdr:to>
          <xdr:col>11</xdr:col>
          <xdr:colOff>590550</xdr:colOff>
          <xdr:row>514</xdr:row>
          <xdr:rowOff>152400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2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SW eligible to switch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521</xdr:row>
          <xdr:rowOff>9525</xdr:rowOff>
        </xdr:from>
        <xdr:to>
          <xdr:col>12</xdr:col>
          <xdr:colOff>133350</xdr:colOff>
          <xdr:row>523</xdr:row>
          <xdr:rowOff>171450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2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Student/ T4 to T2 consent letter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550</xdr:row>
          <xdr:rowOff>152400</xdr:rowOff>
        </xdr:from>
        <xdr:to>
          <xdr:col>9</xdr:col>
          <xdr:colOff>428625</xdr:colOff>
          <xdr:row>552</xdr:row>
          <xdr:rowOff>9525</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2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550</xdr:row>
          <xdr:rowOff>133350</xdr:rowOff>
        </xdr:from>
        <xdr:to>
          <xdr:col>12</xdr:col>
          <xdr:colOff>304800</xdr:colOff>
          <xdr:row>552</xdr:row>
          <xdr:rowOff>9525</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2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Research or Lecturer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560</xdr:row>
          <xdr:rowOff>142875</xdr:rowOff>
        </xdr:from>
        <xdr:to>
          <xdr:col>11</xdr:col>
          <xdr:colOff>142875</xdr:colOff>
          <xdr:row>561</xdr:row>
          <xdr:rowOff>190500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2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Fees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578</xdr:row>
          <xdr:rowOff>152400</xdr:rowOff>
        </xdr:from>
        <xdr:to>
          <xdr:col>11</xdr:col>
          <xdr:colOff>371475</xdr:colOff>
          <xdr:row>579</xdr:row>
          <xdr:rowOff>180975</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2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Cost code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589</xdr:row>
          <xdr:rowOff>123825</xdr:rowOff>
        </xdr:from>
        <xdr:to>
          <xdr:col>11</xdr:col>
          <xdr:colOff>381000</xdr:colOff>
          <xdr:row>590</xdr:row>
          <xdr:rowOff>161925</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2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Authorisation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564</xdr:row>
          <xdr:rowOff>161925</xdr:rowOff>
        </xdr:from>
        <xdr:to>
          <xdr:col>12</xdr:col>
          <xdr:colOff>581025</xdr:colOff>
          <xdr:row>566</xdr:row>
          <xdr:rowOff>57150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200-0000DF040000}"/>
                </a:ext>
              </a:extLst>
            </xdr:cNvPr>
            <xdr:cNvSpPr/>
          </xdr:nvSpPr>
          <xdr:spPr bwMode="auto">
            <a:xfrm>
              <a:off x="0" y="0"/>
              <a:ext cx="0" cy="0"/>
            </a:xfrm>
            <a:prstGeom prst="rect">
              <a:avLst/>
            </a:prstGeom>
            <a:noFill/>
            <a:ln>
              <a:noFill/>
            </a:ln>
            <a:effectLst/>
            <a:extLst>
              <a:ext uri="{909E8E84-426E-40DD-AFC4-6F175D3DCCD1}">
                <a14:hiddenFill>
                  <a:solidFill>
                    <a:srgbClr val="FFFFE1"/>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College invoice discussed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567</xdr:row>
          <xdr:rowOff>190500</xdr:rowOff>
        </xdr:from>
        <xdr:to>
          <xdr:col>12</xdr:col>
          <xdr:colOff>495300</xdr:colOff>
          <xdr:row>569</xdr:row>
          <xdr:rowOff>9525</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2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College PAYE ref provided?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66675</xdr:rowOff>
        </xdr:from>
        <xdr:to>
          <xdr:col>9</xdr:col>
          <xdr:colOff>47625</xdr:colOff>
          <xdr:row>115</xdr:row>
          <xdr:rowOff>95250</xdr:rowOff>
        </xdr:to>
        <xdr:sp macro="" textlink="">
          <xdr:nvSpPr>
            <xdr:cNvPr id="1252" name="Group Box 228" descr="Maintenance_requirement" hidden="1">
              <a:extLst>
                <a:ext uri="{63B3BB69-23CF-44E3-9099-C40C66FF867C}">
                  <a14:compatExt spid="_x0000_s1252"/>
                </a:ext>
                <a:ext uri="{FF2B5EF4-FFF2-40B4-BE49-F238E27FC236}">
                  <a16:creationId xmlns:a16="http://schemas.microsoft.com/office/drawing/2014/main" id="{00000000-0008-0000-0200-0000E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190500</xdr:colOff>
          <xdr:row>96</xdr:row>
          <xdr:rowOff>57150</xdr:rowOff>
        </xdr:from>
        <xdr:to>
          <xdr:col>12</xdr:col>
          <xdr:colOff>266700</xdr:colOff>
          <xdr:row>97</xdr:row>
          <xdr:rowOff>76200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2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Maintenance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102</xdr:row>
          <xdr:rowOff>304800</xdr:rowOff>
        </xdr:from>
        <xdr:to>
          <xdr:col>8</xdr:col>
          <xdr:colOff>457200</xdr:colOff>
          <xdr:row>104</xdr:row>
          <xdr:rowOff>161925</xdr:rowOff>
        </xdr:to>
        <xdr:sp macro="" textlink="">
          <xdr:nvSpPr>
            <xdr:cNvPr id="1254" name="OptionButton3" hidden="1">
              <a:extLst>
                <a:ext uri="{63B3BB69-23CF-44E3-9099-C40C66FF867C}">
                  <a14:compatExt spid="_x0000_s1254"/>
                </a:ext>
                <a:ext uri="{FF2B5EF4-FFF2-40B4-BE49-F238E27FC236}">
                  <a16:creationId xmlns:a16="http://schemas.microsoft.com/office/drawing/2014/main" id="{00000000-0008-0000-02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104</xdr:row>
          <xdr:rowOff>161925</xdr:rowOff>
        </xdr:from>
        <xdr:to>
          <xdr:col>8</xdr:col>
          <xdr:colOff>476250</xdr:colOff>
          <xdr:row>107</xdr:row>
          <xdr:rowOff>19050</xdr:rowOff>
        </xdr:to>
        <xdr:sp macro="" textlink="">
          <xdr:nvSpPr>
            <xdr:cNvPr id="1255" name="OptionButton4" hidden="1">
              <a:extLst>
                <a:ext uri="{63B3BB69-23CF-44E3-9099-C40C66FF867C}">
                  <a14:compatExt spid="_x0000_s1255"/>
                </a:ext>
                <a:ext uri="{FF2B5EF4-FFF2-40B4-BE49-F238E27FC236}">
                  <a16:creationId xmlns:a16="http://schemas.microsoft.com/office/drawing/2014/main" id="{00000000-0008-0000-02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109</xdr:row>
          <xdr:rowOff>190500</xdr:rowOff>
        </xdr:from>
        <xdr:to>
          <xdr:col>8</xdr:col>
          <xdr:colOff>514350</xdr:colOff>
          <xdr:row>112</xdr:row>
          <xdr:rowOff>47625</xdr:rowOff>
        </xdr:to>
        <xdr:sp macro="" textlink="">
          <xdr:nvSpPr>
            <xdr:cNvPr id="1256" name="OptionButton8" hidden="1">
              <a:extLst>
                <a:ext uri="{63B3BB69-23CF-44E3-9099-C40C66FF867C}">
                  <a14:compatExt spid="_x0000_s1256"/>
                </a:ext>
                <a:ext uri="{FF2B5EF4-FFF2-40B4-BE49-F238E27FC236}">
                  <a16:creationId xmlns:a16="http://schemas.microsoft.com/office/drawing/2014/main" id="{00000000-0008-0000-02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101</xdr:row>
          <xdr:rowOff>19050</xdr:rowOff>
        </xdr:from>
        <xdr:to>
          <xdr:col>8</xdr:col>
          <xdr:colOff>485775</xdr:colOff>
          <xdr:row>102</xdr:row>
          <xdr:rowOff>276225</xdr:rowOff>
        </xdr:to>
        <xdr:sp macro="" textlink="">
          <xdr:nvSpPr>
            <xdr:cNvPr id="1257" name="OptionButton9" hidden="1">
              <a:extLst>
                <a:ext uri="{63B3BB69-23CF-44E3-9099-C40C66FF867C}">
                  <a14:compatExt spid="_x0000_s1257"/>
                </a:ext>
                <a:ext uri="{FF2B5EF4-FFF2-40B4-BE49-F238E27FC236}">
                  <a16:creationId xmlns:a16="http://schemas.microsoft.com/office/drawing/2014/main" id="{00000000-0008-0000-02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420</xdr:row>
          <xdr:rowOff>133350</xdr:rowOff>
        </xdr:from>
        <xdr:to>
          <xdr:col>12</xdr:col>
          <xdr:colOff>352425</xdr:colOff>
          <xdr:row>422</xdr:row>
          <xdr:rowOff>114300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2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Recruitment details section completed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232</xdr:row>
          <xdr:rowOff>104775</xdr:rowOff>
        </xdr:from>
        <xdr:to>
          <xdr:col>11</xdr:col>
          <xdr:colOff>466725</xdr:colOff>
          <xdr:row>234</xdr:row>
          <xdr:rowOff>190500</xdr:rowOff>
        </xdr:to>
        <xdr:sp macro="" textlink="">
          <xdr:nvSpPr>
            <xdr:cNvPr id="1261" name="Check Box 237" descr="Confirmed whether or not ATAS applies" hidden="1">
              <a:extLst>
                <a:ext uri="{63B3BB69-23CF-44E3-9099-C40C66FF867C}">
                  <a14:compatExt spid="_x0000_s1261"/>
                </a:ext>
                <a:ext uri="{FF2B5EF4-FFF2-40B4-BE49-F238E27FC236}">
                  <a16:creationId xmlns:a16="http://schemas.microsoft.com/office/drawing/2014/main" id="{00000000-0008-0000-02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Confirmed whether or not ATAS applies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161925</xdr:colOff>
          <xdr:row>236</xdr:row>
          <xdr:rowOff>0</xdr:rowOff>
        </xdr:from>
        <xdr:to>
          <xdr:col>12</xdr:col>
          <xdr:colOff>257175</xdr:colOff>
          <xdr:row>237</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2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CAH3 codes 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510</xdr:row>
          <xdr:rowOff>47625</xdr:rowOff>
        </xdr:from>
        <xdr:to>
          <xdr:col>0</xdr:col>
          <xdr:colOff>533400</xdr:colOff>
          <xdr:row>511</xdr:row>
          <xdr:rowOff>28575</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2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510</xdr:row>
          <xdr:rowOff>57150</xdr:rowOff>
        </xdr:from>
        <xdr:to>
          <xdr:col>11</xdr:col>
          <xdr:colOff>533400</xdr:colOff>
          <xdr:row>511</xdr:row>
          <xdr:rowOff>38100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2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ATAS letter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193</xdr:row>
          <xdr:rowOff>47625</xdr:rowOff>
        </xdr:from>
        <xdr:to>
          <xdr:col>12</xdr:col>
          <xdr:colOff>314325</xdr:colOff>
          <xdr:row>193</xdr:row>
          <xdr:rowOff>266700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2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Segoe UI"/>
                  <a:cs typeface="Segoe UI"/>
                </a:rPr>
                <a:t>Dependants discussed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17</xdr:row>
          <xdr:rowOff>47625</xdr:rowOff>
        </xdr:from>
        <xdr:to>
          <xdr:col>9</xdr:col>
          <xdr:colOff>561975</xdr:colOff>
          <xdr:row>21</xdr:row>
          <xdr:rowOff>142875</xdr:rowOff>
        </xdr:to>
        <xdr:sp macro="" textlink="">
          <xdr:nvSpPr>
            <xdr:cNvPr id="5121" name="Group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17</xdr:row>
          <xdr:rowOff>133350</xdr:rowOff>
        </xdr:from>
        <xdr:to>
          <xdr:col>2</xdr:col>
          <xdr:colOff>619125</xdr:colOff>
          <xdr:row>19</xdr:row>
          <xdr:rowOff>76200</xdr:rowOff>
        </xdr:to>
        <xdr:sp macro="" textlink="">
          <xdr:nvSpPr>
            <xdr:cNvPr id="5122" name="Advertised"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219075</xdr:colOff>
          <xdr:row>19</xdr:row>
          <xdr:rowOff>114300</xdr:rowOff>
        </xdr:from>
        <xdr:to>
          <xdr:col>2</xdr:col>
          <xdr:colOff>628650</xdr:colOff>
          <xdr:row>21</xdr:row>
          <xdr:rowOff>76200</xdr:rowOff>
        </xdr:to>
        <xdr:sp macro="" textlink="">
          <xdr:nvSpPr>
            <xdr:cNvPr id="5123" name="DirectAppointment"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ctrlProp" Target="../ctrlProps/ctrlProp32.xml"/><Relationship Id="rId21" Type="http://schemas.openxmlformats.org/officeDocument/2006/relationships/hyperlink" Target="https://staffimmigration.admin.ox.ac.uk/gtv-endorsement" TargetMode="External"/><Relationship Id="rId42" Type="http://schemas.openxmlformats.org/officeDocument/2006/relationships/control" Target="../activeX/activeX2.xml"/><Relationship Id="rId63" Type="http://schemas.openxmlformats.org/officeDocument/2006/relationships/image" Target="../media/image12.emf"/><Relationship Id="rId84" Type="http://schemas.openxmlformats.org/officeDocument/2006/relationships/control" Target="../activeX/activeX23.xml"/><Relationship Id="rId138" Type="http://schemas.openxmlformats.org/officeDocument/2006/relationships/ctrlProp" Target="../ctrlProps/ctrlProp53.xml"/><Relationship Id="rId159" Type="http://schemas.openxmlformats.org/officeDocument/2006/relationships/ctrlProp" Target="../ctrlProps/ctrlProp74.xml"/><Relationship Id="rId107" Type="http://schemas.openxmlformats.org/officeDocument/2006/relationships/ctrlProp" Target="../ctrlProps/ctrlProp22.xml"/><Relationship Id="rId11" Type="http://schemas.openxmlformats.org/officeDocument/2006/relationships/hyperlink" Target="https://staffimmigration.admin.ox.ac.uk/skilled-worker-requesting-cos-and-prepare-visa-application" TargetMode="External"/><Relationship Id="rId32" Type="http://schemas.openxmlformats.org/officeDocument/2006/relationships/hyperlink" Target="mailto:paul.deeble@admin.ox.ac.uk" TargetMode="External"/><Relationship Id="rId53" Type="http://schemas.openxmlformats.org/officeDocument/2006/relationships/image" Target="../media/image7.emf"/><Relationship Id="rId74" Type="http://schemas.openxmlformats.org/officeDocument/2006/relationships/control" Target="../activeX/activeX18.xml"/><Relationship Id="rId128" Type="http://schemas.openxmlformats.org/officeDocument/2006/relationships/ctrlProp" Target="../ctrlProps/ctrlProp43.xml"/><Relationship Id="rId149" Type="http://schemas.openxmlformats.org/officeDocument/2006/relationships/ctrlProp" Target="../ctrlProps/ctrlProp64.xml"/><Relationship Id="rId5" Type="http://schemas.openxmlformats.org/officeDocument/2006/relationships/hyperlink" Target="http://www.gov.uk/tier-2-general/knowledge-of-english" TargetMode="External"/><Relationship Id="rId95" Type="http://schemas.openxmlformats.org/officeDocument/2006/relationships/ctrlProp" Target="../ctrlProps/ctrlProp10.xml"/><Relationship Id="rId160" Type="http://schemas.openxmlformats.org/officeDocument/2006/relationships/ctrlProp" Target="../ctrlProps/ctrlProp75.xml"/><Relationship Id="rId22" Type="http://schemas.openxmlformats.org/officeDocument/2006/relationships/hyperlink" Target="https://staffimmigration.admin.ox.ac.uk/gtv-endorsement" TargetMode="External"/><Relationship Id="rId43" Type="http://schemas.openxmlformats.org/officeDocument/2006/relationships/image" Target="../media/image2.emf"/><Relationship Id="rId64" Type="http://schemas.openxmlformats.org/officeDocument/2006/relationships/control" Target="../activeX/activeX13.xml"/><Relationship Id="rId118" Type="http://schemas.openxmlformats.org/officeDocument/2006/relationships/ctrlProp" Target="../ctrlProps/ctrlProp33.xml"/><Relationship Id="rId139" Type="http://schemas.openxmlformats.org/officeDocument/2006/relationships/ctrlProp" Target="../ctrlProps/ctrlProp54.xml"/><Relationship Id="rId85" Type="http://schemas.openxmlformats.org/officeDocument/2006/relationships/image" Target="../media/image23.emf"/><Relationship Id="rId150" Type="http://schemas.openxmlformats.org/officeDocument/2006/relationships/ctrlProp" Target="../ctrlProps/ctrlProp65.xml"/><Relationship Id="rId12" Type="http://schemas.openxmlformats.org/officeDocument/2006/relationships/hyperlink" Target="https://www.gov.uk/skilled-worker-visa/knowledge-of-english" TargetMode="External"/><Relationship Id="rId17" Type="http://schemas.openxmlformats.org/officeDocument/2006/relationships/hyperlink" Target="https://staffimmigration.web.ox.ac.uk/atas-full-cah-code-list" TargetMode="External"/><Relationship Id="rId33" Type="http://schemas.openxmlformats.org/officeDocument/2006/relationships/hyperlink" Target="mailto:sufia.nadeem@admin.ox.ac.uk" TargetMode="External"/><Relationship Id="rId38" Type="http://schemas.openxmlformats.org/officeDocument/2006/relationships/drawing" Target="../drawings/drawing1.xml"/><Relationship Id="rId59" Type="http://schemas.openxmlformats.org/officeDocument/2006/relationships/image" Target="../media/image10.emf"/><Relationship Id="rId103" Type="http://schemas.openxmlformats.org/officeDocument/2006/relationships/ctrlProp" Target="../ctrlProps/ctrlProp18.xml"/><Relationship Id="rId108" Type="http://schemas.openxmlformats.org/officeDocument/2006/relationships/ctrlProp" Target="../ctrlProps/ctrlProp23.xml"/><Relationship Id="rId124" Type="http://schemas.openxmlformats.org/officeDocument/2006/relationships/ctrlProp" Target="../ctrlProps/ctrlProp39.xml"/><Relationship Id="rId129" Type="http://schemas.openxmlformats.org/officeDocument/2006/relationships/ctrlProp" Target="../ctrlProps/ctrlProp44.xml"/><Relationship Id="rId54" Type="http://schemas.openxmlformats.org/officeDocument/2006/relationships/control" Target="../activeX/activeX8.xml"/><Relationship Id="rId70" Type="http://schemas.openxmlformats.org/officeDocument/2006/relationships/control" Target="../activeX/activeX16.xml"/><Relationship Id="rId75" Type="http://schemas.openxmlformats.org/officeDocument/2006/relationships/image" Target="../media/image18.emf"/><Relationship Id="rId91" Type="http://schemas.openxmlformats.org/officeDocument/2006/relationships/ctrlProp" Target="../ctrlProps/ctrlProp6.xml"/><Relationship Id="rId96" Type="http://schemas.openxmlformats.org/officeDocument/2006/relationships/ctrlProp" Target="../ctrlProps/ctrlProp11.xml"/><Relationship Id="rId140" Type="http://schemas.openxmlformats.org/officeDocument/2006/relationships/ctrlProp" Target="../ctrlProps/ctrlProp55.xml"/><Relationship Id="rId145" Type="http://schemas.openxmlformats.org/officeDocument/2006/relationships/ctrlProp" Target="../ctrlProps/ctrlProp60.xml"/><Relationship Id="rId161" Type="http://schemas.openxmlformats.org/officeDocument/2006/relationships/ctrlProp" Target="../ctrlProps/ctrlProp76.xml"/><Relationship Id="rId166" Type="http://schemas.openxmlformats.org/officeDocument/2006/relationships/ctrlProp" Target="../ctrlProps/ctrlProp81.xml"/><Relationship Id="rId1" Type="http://schemas.openxmlformats.org/officeDocument/2006/relationships/hyperlink" Target="https://staffimmigration.admin.ox.ac.uk/" TargetMode="External"/><Relationship Id="rId6" Type="http://schemas.openxmlformats.org/officeDocument/2006/relationships/hyperlink" Target="http://www.gov.uk/tb-test-visa" TargetMode="External"/><Relationship Id="rId23" Type="http://schemas.openxmlformats.org/officeDocument/2006/relationships/hyperlink" Target="https://www.gov.uk/graduate-visa" TargetMode="External"/><Relationship Id="rId28" Type="http://schemas.openxmlformats.org/officeDocument/2006/relationships/hyperlink" Target="mailto:lyn.davis@admin.ox.ac.uk" TargetMode="External"/><Relationship Id="rId49" Type="http://schemas.openxmlformats.org/officeDocument/2006/relationships/image" Target="../media/image5.emf"/><Relationship Id="rId114" Type="http://schemas.openxmlformats.org/officeDocument/2006/relationships/ctrlProp" Target="../ctrlProps/ctrlProp29.xml"/><Relationship Id="rId119" Type="http://schemas.openxmlformats.org/officeDocument/2006/relationships/ctrlProp" Target="../ctrlProps/ctrlProp34.xml"/><Relationship Id="rId44" Type="http://schemas.openxmlformats.org/officeDocument/2006/relationships/control" Target="../activeX/activeX3.xml"/><Relationship Id="rId60" Type="http://schemas.openxmlformats.org/officeDocument/2006/relationships/control" Target="../activeX/activeX11.xml"/><Relationship Id="rId65" Type="http://schemas.openxmlformats.org/officeDocument/2006/relationships/image" Target="../media/image13.emf"/><Relationship Id="rId81" Type="http://schemas.openxmlformats.org/officeDocument/2006/relationships/image" Target="../media/image21.emf"/><Relationship Id="rId86" Type="http://schemas.openxmlformats.org/officeDocument/2006/relationships/ctrlProp" Target="../ctrlProps/ctrlProp1.xml"/><Relationship Id="rId130" Type="http://schemas.openxmlformats.org/officeDocument/2006/relationships/ctrlProp" Target="../ctrlProps/ctrlProp45.xml"/><Relationship Id="rId135" Type="http://schemas.openxmlformats.org/officeDocument/2006/relationships/ctrlProp" Target="../ctrlProps/ctrlProp50.xml"/><Relationship Id="rId151" Type="http://schemas.openxmlformats.org/officeDocument/2006/relationships/ctrlProp" Target="../ctrlProps/ctrlProp66.xml"/><Relationship Id="rId156" Type="http://schemas.openxmlformats.org/officeDocument/2006/relationships/ctrlProp" Target="../ctrlProps/ctrlProp71.xml"/><Relationship Id="rId13" Type="http://schemas.openxmlformats.org/officeDocument/2006/relationships/hyperlink" Target="https://www.gov.uk/skilled-worker-visa/knowledge-of-english" TargetMode="External"/><Relationship Id="rId18" Type="http://schemas.openxmlformats.org/officeDocument/2006/relationships/hyperlink" Target="https://staffimmigration.web.ox.ac.uk/atas-hr-template-letter-skilled-worker" TargetMode="External"/><Relationship Id="rId39" Type="http://schemas.openxmlformats.org/officeDocument/2006/relationships/vmlDrawing" Target="../drawings/vmlDrawing1.vml"/><Relationship Id="rId109" Type="http://schemas.openxmlformats.org/officeDocument/2006/relationships/ctrlProp" Target="../ctrlProps/ctrlProp24.xml"/><Relationship Id="rId34" Type="http://schemas.openxmlformats.org/officeDocument/2006/relationships/hyperlink" Target="mailto:sufia.nadeem@admin.ox.ac.uk" TargetMode="External"/><Relationship Id="rId50" Type="http://schemas.openxmlformats.org/officeDocument/2006/relationships/control" Target="../activeX/activeX6.xml"/><Relationship Id="rId55" Type="http://schemas.openxmlformats.org/officeDocument/2006/relationships/image" Target="../media/image8.emf"/><Relationship Id="rId76" Type="http://schemas.openxmlformats.org/officeDocument/2006/relationships/control" Target="../activeX/activeX19.xml"/><Relationship Id="rId97" Type="http://schemas.openxmlformats.org/officeDocument/2006/relationships/ctrlProp" Target="../ctrlProps/ctrlProp12.xml"/><Relationship Id="rId104" Type="http://schemas.openxmlformats.org/officeDocument/2006/relationships/ctrlProp" Target="../ctrlProps/ctrlProp19.xml"/><Relationship Id="rId120" Type="http://schemas.openxmlformats.org/officeDocument/2006/relationships/ctrlProp" Target="../ctrlProps/ctrlProp35.xml"/><Relationship Id="rId125" Type="http://schemas.openxmlformats.org/officeDocument/2006/relationships/ctrlProp" Target="../ctrlProps/ctrlProp40.xml"/><Relationship Id="rId141" Type="http://schemas.openxmlformats.org/officeDocument/2006/relationships/ctrlProp" Target="../ctrlProps/ctrlProp56.xml"/><Relationship Id="rId146" Type="http://schemas.openxmlformats.org/officeDocument/2006/relationships/ctrlProp" Target="../ctrlProps/ctrlProp61.xml"/><Relationship Id="rId167" Type="http://schemas.openxmlformats.org/officeDocument/2006/relationships/ctrlProp" Target="../ctrlProps/ctrlProp82.xml"/><Relationship Id="rId7" Type="http://schemas.openxmlformats.org/officeDocument/2006/relationships/hyperlink" Target="https://staffimmigration.admin.ox.ac.uk/tier-2-requesting-cos-and-prepare-visa-application" TargetMode="External"/><Relationship Id="rId71" Type="http://schemas.openxmlformats.org/officeDocument/2006/relationships/image" Target="../media/image16.emf"/><Relationship Id="rId92" Type="http://schemas.openxmlformats.org/officeDocument/2006/relationships/ctrlProp" Target="../ctrlProps/ctrlProp7.xml"/><Relationship Id="rId162" Type="http://schemas.openxmlformats.org/officeDocument/2006/relationships/ctrlProp" Target="../ctrlProps/ctrlProp77.xml"/><Relationship Id="rId2" Type="http://schemas.openxmlformats.org/officeDocument/2006/relationships/hyperlink" Target="http://www.gov.uk/tier-2-general/knowledge-of-english" TargetMode="External"/><Relationship Id="rId29" Type="http://schemas.openxmlformats.org/officeDocument/2006/relationships/hyperlink" Target="mailto:richard.birt@admin.ox.ac.uk" TargetMode="External"/><Relationship Id="rId24" Type="http://schemas.openxmlformats.org/officeDocument/2006/relationships/hyperlink" Target="https://www.ukcisa.org.uk/Information--Advice/Working/Working-after-studies" TargetMode="External"/><Relationship Id="rId40" Type="http://schemas.openxmlformats.org/officeDocument/2006/relationships/control" Target="../activeX/activeX1.xml"/><Relationship Id="rId45" Type="http://schemas.openxmlformats.org/officeDocument/2006/relationships/image" Target="../media/image3.emf"/><Relationship Id="rId66" Type="http://schemas.openxmlformats.org/officeDocument/2006/relationships/control" Target="../activeX/activeX14.xml"/><Relationship Id="rId87" Type="http://schemas.openxmlformats.org/officeDocument/2006/relationships/ctrlProp" Target="../ctrlProps/ctrlProp2.xml"/><Relationship Id="rId110" Type="http://schemas.openxmlformats.org/officeDocument/2006/relationships/ctrlProp" Target="../ctrlProps/ctrlProp25.xml"/><Relationship Id="rId115" Type="http://schemas.openxmlformats.org/officeDocument/2006/relationships/ctrlProp" Target="../ctrlProps/ctrlProp30.xml"/><Relationship Id="rId131" Type="http://schemas.openxmlformats.org/officeDocument/2006/relationships/ctrlProp" Target="../ctrlProps/ctrlProp46.xml"/><Relationship Id="rId136" Type="http://schemas.openxmlformats.org/officeDocument/2006/relationships/ctrlProp" Target="../ctrlProps/ctrlProp51.xml"/><Relationship Id="rId157" Type="http://schemas.openxmlformats.org/officeDocument/2006/relationships/ctrlProp" Target="../ctrlProps/ctrlProp72.xml"/><Relationship Id="rId61" Type="http://schemas.openxmlformats.org/officeDocument/2006/relationships/image" Target="../media/image11.emf"/><Relationship Id="rId82" Type="http://schemas.openxmlformats.org/officeDocument/2006/relationships/control" Target="../activeX/activeX22.xml"/><Relationship Id="rId152" Type="http://schemas.openxmlformats.org/officeDocument/2006/relationships/ctrlProp" Target="../ctrlProps/ctrlProp67.xml"/><Relationship Id="rId19" Type="http://schemas.openxmlformats.org/officeDocument/2006/relationships/hyperlink" Target="https://staffimmigration.admin.ox.ac.uk/gtv-endorsement" TargetMode="External"/><Relationship Id="rId14" Type="http://schemas.openxmlformats.org/officeDocument/2006/relationships/hyperlink" Target="https://finance.admin.ox.ac.uk/salary-scales" TargetMode="External"/><Relationship Id="rId30" Type="http://schemas.openxmlformats.org/officeDocument/2006/relationships/hyperlink" Target="https://www.gov.uk/high-potential-individual-visa" TargetMode="External"/><Relationship Id="rId35" Type="http://schemas.openxmlformats.org/officeDocument/2006/relationships/hyperlink" Target="mailto:angelina.escott@admin.ox.ac.uk" TargetMode="External"/><Relationship Id="rId56" Type="http://schemas.openxmlformats.org/officeDocument/2006/relationships/control" Target="../activeX/activeX9.xml"/><Relationship Id="rId77" Type="http://schemas.openxmlformats.org/officeDocument/2006/relationships/image" Target="../media/image19.emf"/><Relationship Id="rId100" Type="http://schemas.openxmlformats.org/officeDocument/2006/relationships/ctrlProp" Target="../ctrlProps/ctrlProp15.xml"/><Relationship Id="rId105" Type="http://schemas.openxmlformats.org/officeDocument/2006/relationships/ctrlProp" Target="../ctrlProps/ctrlProp20.xml"/><Relationship Id="rId126" Type="http://schemas.openxmlformats.org/officeDocument/2006/relationships/ctrlProp" Target="../ctrlProps/ctrlProp41.xml"/><Relationship Id="rId147" Type="http://schemas.openxmlformats.org/officeDocument/2006/relationships/ctrlProp" Target="../ctrlProps/ctrlProp62.xml"/><Relationship Id="rId168" Type="http://schemas.openxmlformats.org/officeDocument/2006/relationships/comments" Target="../comments1.xml"/><Relationship Id="rId8" Type="http://schemas.openxmlformats.org/officeDocument/2006/relationships/hyperlink" Target="http://www.admin.ox.ac.uk/finance/epp/payroll/scales/" TargetMode="External"/><Relationship Id="rId51" Type="http://schemas.openxmlformats.org/officeDocument/2006/relationships/image" Target="../media/image6.emf"/><Relationship Id="rId72" Type="http://schemas.openxmlformats.org/officeDocument/2006/relationships/control" Target="../activeX/activeX17.xml"/><Relationship Id="rId93" Type="http://schemas.openxmlformats.org/officeDocument/2006/relationships/ctrlProp" Target="../ctrlProps/ctrlProp8.xml"/><Relationship Id="rId98" Type="http://schemas.openxmlformats.org/officeDocument/2006/relationships/ctrlProp" Target="../ctrlProps/ctrlProp13.xml"/><Relationship Id="rId121" Type="http://schemas.openxmlformats.org/officeDocument/2006/relationships/ctrlProp" Target="../ctrlProps/ctrlProp36.xml"/><Relationship Id="rId142" Type="http://schemas.openxmlformats.org/officeDocument/2006/relationships/ctrlProp" Target="../ctrlProps/ctrlProp57.xml"/><Relationship Id="rId163" Type="http://schemas.openxmlformats.org/officeDocument/2006/relationships/ctrlProp" Target="../ctrlProps/ctrlProp78.xml"/><Relationship Id="rId3" Type="http://schemas.openxmlformats.org/officeDocument/2006/relationships/hyperlink" Target="https://ecctis.com/Qualifications/VAN/Default.aspx" TargetMode="External"/><Relationship Id="rId25" Type="http://schemas.openxmlformats.org/officeDocument/2006/relationships/hyperlink" Target="https://staffimmigration.admin.ox.ac.uk/atas-researchers" TargetMode="External"/><Relationship Id="rId46" Type="http://schemas.openxmlformats.org/officeDocument/2006/relationships/control" Target="../activeX/activeX4.xml"/><Relationship Id="rId67" Type="http://schemas.openxmlformats.org/officeDocument/2006/relationships/image" Target="../media/image14.emf"/><Relationship Id="rId116" Type="http://schemas.openxmlformats.org/officeDocument/2006/relationships/ctrlProp" Target="../ctrlProps/ctrlProp31.xml"/><Relationship Id="rId137" Type="http://schemas.openxmlformats.org/officeDocument/2006/relationships/ctrlProp" Target="../ctrlProps/ctrlProp52.xml"/><Relationship Id="rId158" Type="http://schemas.openxmlformats.org/officeDocument/2006/relationships/ctrlProp" Target="../ctrlProps/ctrlProp73.xml"/><Relationship Id="rId20" Type="http://schemas.openxmlformats.org/officeDocument/2006/relationships/hyperlink" Target="https://royalsociety.org/grants-schemes-awards/global-talent-visa/route-2-individual-fellowships/" TargetMode="External"/><Relationship Id="rId41" Type="http://schemas.openxmlformats.org/officeDocument/2006/relationships/image" Target="../media/image1.emf"/><Relationship Id="rId62" Type="http://schemas.openxmlformats.org/officeDocument/2006/relationships/control" Target="../activeX/activeX12.xml"/><Relationship Id="rId83" Type="http://schemas.openxmlformats.org/officeDocument/2006/relationships/image" Target="../media/image22.emf"/><Relationship Id="rId88" Type="http://schemas.openxmlformats.org/officeDocument/2006/relationships/ctrlProp" Target="../ctrlProps/ctrlProp3.xml"/><Relationship Id="rId111" Type="http://schemas.openxmlformats.org/officeDocument/2006/relationships/ctrlProp" Target="../ctrlProps/ctrlProp26.xml"/><Relationship Id="rId132" Type="http://schemas.openxmlformats.org/officeDocument/2006/relationships/ctrlProp" Target="../ctrlProps/ctrlProp47.xml"/><Relationship Id="rId153" Type="http://schemas.openxmlformats.org/officeDocument/2006/relationships/ctrlProp" Target="../ctrlProps/ctrlProp68.xml"/><Relationship Id="rId15" Type="http://schemas.openxmlformats.org/officeDocument/2006/relationships/hyperlink" Target="https://staffimmigration.admin.ox.ac.uk/skilled-worker-during-sponsorship" TargetMode="External"/><Relationship Id="rId36" Type="http://schemas.openxmlformats.org/officeDocument/2006/relationships/hyperlink" Target="mailto:kara.updale@admin.ox.ac.uk" TargetMode="External"/><Relationship Id="rId57" Type="http://schemas.openxmlformats.org/officeDocument/2006/relationships/image" Target="../media/image9.emf"/><Relationship Id="rId106" Type="http://schemas.openxmlformats.org/officeDocument/2006/relationships/ctrlProp" Target="../ctrlProps/ctrlProp21.xml"/><Relationship Id="rId127" Type="http://schemas.openxmlformats.org/officeDocument/2006/relationships/ctrlProp" Target="../ctrlProps/ctrlProp42.xml"/><Relationship Id="rId10" Type="http://schemas.openxmlformats.org/officeDocument/2006/relationships/hyperlink" Target="https://staffimmigration.admin.ox.ac.uk/compliance" TargetMode="External"/><Relationship Id="rId31" Type="http://schemas.openxmlformats.org/officeDocument/2006/relationships/hyperlink" Target="https://www.gov.uk/high-potential-individual-visa/eligibility" TargetMode="External"/><Relationship Id="rId52" Type="http://schemas.openxmlformats.org/officeDocument/2006/relationships/control" Target="../activeX/activeX7.xml"/><Relationship Id="rId73" Type="http://schemas.openxmlformats.org/officeDocument/2006/relationships/image" Target="../media/image17.emf"/><Relationship Id="rId78" Type="http://schemas.openxmlformats.org/officeDocument/2006/relationships/control" Target="../activeX/activeX20.xml"/><Relationship Id="rId94" Type="http://schemas.openxmlformats.org/officeDocument/2006/relationships/ctrlProp" Target="../ctrlProps/ctrlProp9.xml"/><Relationship Id="rId99" Type="http://schemas.openxmlformats.org/officeDocument/2006/relationships/ctrlProp" Target="../ctrlProps/ctrlProp14.xml"/><Relationship Id="rId101" Type="http://schemas.openxmlformats.org/officeDocument/2006/relationships/ctrlProp" Target="../ctrlProps/ctrlProp16.xml"/><Relationship Id="rId122" Type="http://schemas.openxmlformats.org/officeDocument/2006/relationships/ctrlProp" Target="../ctrlProps/ctrlProp37.xml"/><Relationship Id="rId143" Type="http://schemas.openxmlformats.org/officeDocument/2006/relationships/ctrlProp" Target="../ctrlProps/ctrlProp58.xml"/><Relationship Id="rId148" Type="http://schemas.openxmlformats.org/officeDocument/2006/relationships/ctrlProp" Target="../ctrlProps/ctrlProp63.xml"/><Relationship Id="rId164" Type="http://schemas.openxmlformats.org/officeDocument/2006/relationships/ctrlProp" Target="../ctrlProps/ctrlProp79.xml"/><Relationship Id="rId4" Type="http://schemas.openxmlformats.org/officeDocument/2006/relationships/hyperlink" Target="https://www.gov.uk/government/publications/guidance-on-applying-for-uk-visa-approved-english-language-tests" TargetMode="External"/><Relationship Id="rId9" Type="http://schemas.openxmlformats.org/officeDocument/2006/relationships/hyperlink" Target="https://staffimmigration.admin.ox.ac.uk/during-tier-2-sponsorship" TargetMode="External"/><Relationship Id="rId26" Type="http://schemas.openxmlformats.org/officeDocument/2006/relationships/hyperlink" Target="mailto:angelina.pelova@admin.ox.ac.uk" TargetMode="External"/><Relationship Id="rId47" Type="http://schemas.openxmlformats.org/officeDocument/2006/relationships/image" Target="../media/image4.emf"/><Relationship Id="rId68" Type="http://schemas.openxmlformats.org/officeDocument/2006/relationships/control" Target="../activeX/activeX15.xml"/><Relationship Id="rId89" Type="http://schemas.openxmlformats.org/officeDocument/2006/relationships/ctrlProp" Target="../ctrlProps/ctrlProp4.xml"/><Relationship Id="rId112" Type="http://schemas.openxmlformats.org/officeDocument/2006/relationships/ctrlProp" Target="../ctrlProps/ctrlProp27.xml"/><Relationship Id="rId133" Type="http://schemas.openxmlformats.org/officeDocument/2006/relationships/ctrlProp" Target="../ctrlProps/ctrlProp48.xml"/><Relationship Id="rId154" Type="http://schemas.openxmlformats.org/officeDocument/2006/relationships/ctrlProp" Target="../ctrlProps/ctrlProp69.xml"/><Relationship Id="rId16" Type="http://schemas.openxmlformats.org/officeDocument/2006/relationships/hyperlink" Target="https://qls.ecctis.com/" TargetMode="External"/><Relationship Id="rId37" Type="http://schemas.openxmlformats.org/officeDocument/2006/relationships/printerSettings" Target="../printerSettings/printerSettings1.bin"/><Relationship Id="rId58" Type="http://schemas.openxmlformats.org/officeDocument/2006/relationships/control" Target="../activeX/activeX10.xml"/><Relationship Id="rId79" Type="http://schemas.openxmlformats.org/officeDocument/2006/relationships/image" Target="../media/image20.emf"/><Relationship Id="rId102" Type="http://schemas.openxmlformats.org/officeDocument/2006/relationships/ctrlProp" Target="../ctrlProps/ctrlProp17.xml"/><Relationship Id="rId123" Type="http://schemas.openxmlformats.org/officeDocument/2006/relationships/ctrlProp" Target="../ctrlProps/ctrlProp38.xml"/><Relationship Id="rId144" Type="http://schemas.openxmlformats.org/officeDocument/2006/relationships/ctrlProp" Target="../ctrlProps/ctrlProp59.xml"/><Relationship Id="rId90" Type="http://schemas.openxmlformats.org/officeDocument/2006/relationships/ctrlProp" Target="../ctrlProps/ctrlProp5.xml"/><Relationship Id="rId165" Type="http://schemas.openxmlformats.org/officeDocument/2006/relationships/ctrlProp" Target="../ctrlProps/ctrlProp80.xml"/><Relationship Id="rId27" Type="http://schemas.openxmlformats.org/officeDocument/2006/relationships/hyperlink" Target="mailto:paul.deeble@admin.ox.ac.uk" TargetMode="External"/><Relationship Id="rId48" Type="http://schemas.openxmlformats.org/officeDocument/2006/relationships/control" Target="../activeX/activeX5.xml"/><Relationship Id="rId69" Type="http://schemas.openxmlformats.org/officeDocument/2006/relationships/image" Target="../media/image15.emf"/><Relationship Id="rId113" Type="http://schemas.openxmlformats.org/officeDocument/2006/relationships/ctrlProp" Target="../ctrlProps/ctrlProp28.xml"/><Relationship Id="rId134" Type="http://schemas.openxmlformats.org/officeDocument/2006/relationships/ctrlProp" Target="../ctrlProps/ctrlProp49.xml"/><Relationship Id="rId80" Type="http://schemas.openxmlformats.org/officeDocument/2006/relationships/control" Target="../activeX/activeX21.xml"/><Relationship Id="rId155" Type="http://schemas.openxmlformats.org/officeDocument/2006/relationships/ctrlProp" Target="../ctrlProps/ctrlProp70.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25.xml"/><Relationship Id="rId3" Type="http://schemas.openxmlformats.org/officeDocument/2006/relationships/printerSettings" Target="../printerSettings/printerSettings2.bin"/><Relationship Id="rId7" Type="http://schemas.openxmlformats.org/officeDocument/2006/relationships/image" Target="../media/image24.emf"/><Relationship Id="rId2" Type="http://schemas.openxmlformats.org/officeDocument/2006/relationships/hyperlink" Target="https://staffimmigration.admin.ox.ac.uk/" TargetMode="External"/><Relationship Id="rId1" Type="http://schemas.openxmlformats.org/officeDocument/2006/relationships/hyperlink" Target="https://hr.admin.ox.ac.uk/recruitment-without-advertising" TargetMode="External"/><Relationship Id="rId6" Type="http://schemas.openxmlformats.org/officeDocument/2006/relationships/control" Target="../activeX/activeX24.xml"/><Relationship Id="rId5" Type="http://schemas.openxmlformats.org/officeDocument/2006/relationships/vmlDrawing" Target="../drawings/vmlDrawing2.vml"/><Relationship Id="rId10" Type="http://schemas.openxmlformats.org/officeDocument/2006/relationships/ctrlProp" Target="../ctrlProps/ctrlProp83.xml"/><Relationship Id="rId4" Type="http://schemas.openxmlformats.org/officeDocument/2006/relationships/drawing" Target="../drawings/drawing2.xml"/><Relationship Id="rId9" Type="http://schemas.openxmlformats.org/officeDocument/2006/relationships/image" Target="../media/image25.emf"/></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staffimmigration.web.ox.ac.uk/atas-full-cah-code-list" TargetMode="External"/><Relationship Id="rId1" Type="http://schemas.openxmlformats.org/officeDocument/2006/relationships/hyperlink" Target="https://www.gov.uk/guidance/immigration-rules/immigration-rules-appendix-atas-academic-technology-approval-scheme-at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37"/>
  <sheetViews>
    <sheetView workbookViewId="0"/>
  </sheetViews>
  <sheetFormatPr defaultColWidth="8.85546875" defaultRowHeight="12.75" x14ac:dyDescent="0.2"/>
  <cols>
    <col min="1" max="1" width="5.7109375" style="2" bestFit="1" customWidth="1"/>
    <col min="2" max="2" width="52.140625" style="2" customWidth="1"/>
    <col min="3" max="16384" width="8.85546875" style="2"/>
  </cols>
  <sheetData>
    <row r="1" spans="1:2" ht="15.75" x14ac:dyDescent="0.25">
      <c r="A1" s="1" t="s">
        <v>0</v>
      </c>
    </row>
    <row r="2" spans="1:2" x14ac:dyDescent="0.2">
      <c r="A2" s="417" t="s">
        <v>1111</v>
      </c>
    </row>
    <row r="3" spans="1:2" x14ac:dyDescent="0.2">
      <c r="A3" s="3" t="s">
        <v>1</v>
      </c>
      <c r="B3" s="4" t="s">
        <v>2</v>
      </c>
    </row>
    <row r="4" spans="1:2" x14ac:dyDescent="0.2">
      <c r="A4" s="5" t="s">
        <v>1112</v>
      </c>
      <c r="B4" s="5" t="s">
        <v>1113</v>
      </c>
    </row>
    <row r="5" spans="1:2" x14ac:dyDescent="0.2">
      <c r="A5" s="5" t="s">
        <v>1093</v>
      </c>
      <c r="B5" s="5" t="s">
        <v>1094</v>
      </c>
    </row>
    <row r="6" spans="1:2" x14ac:dyDescent="0.2">
      <c r="A6" s="5" t="s">
        <v>3</v>
      </c>
      <c r="B6" s="5" t="s">
        <v>4</v>
      </c>
    </row>
    <row r="7" spans="1:2" x14ac:dyDescent="0.2">
      <c r="A7" s="5" t="s">
        <v>5</v>
      </c>
      <c r="B7" s="5" t="s">
        <v>6</v>
      </c>
    </row>
    <row r="8" spans="1:2" x14ac:dyDescent="0.2">
      <c r="A8" s="5" t="s">
        <v>7</v>
      </c>
      <c r="B8" s="5" t="s">
        <v>8</v>
      </c>
    </row>
    <row r="9" spans="1:2" x14ac:dyDescent="0.2">
      <c r="A9" s="5" t="s">
        <v>9</v>
      </c>
      <c r="B9" s="5" t="s">
        <v>10</v>
      </c>
    </row>
    <row r="10" spans="1:2" x14ac:dyDescent="0.2">
      <c r="A10" s="5" t="s">
        <v>11</v>
      </c>
      <c r="B10" s="5" t="s">
        <v>12</v>
      </c>
    </row>
    <row r="11" spans="1:2" x14ac:dyDescent="0.2">
      <c r="A11" s="5" t="s">
        <v>1114</v>
      </c>
      <c r="B11" s="5" t="s">
        <v>1113</v>
      </c>
    </row>
    <row r="12" spans="1:2" x14ac:dyDescent="0.2">
      <c r="A12" s="5" t="s">
        <v>13</v>
      </c>
      <c r="B12" s="5" t="s">
        <v>14</v>
      </c>
    </row>
    <row r="13" spans="1:2" x14ac:dyDescent="0.2">
      <c r="A13" s="5" t="s">
        <v>15</v>
      </c>
      <c r="B13" s="5" t="s">
        <v>16</v>
      </c>
    </row>
    <row r="14" spans="1:2" x14ac:dyDescent="0.2">
      <c r="A14" s="5" t="s">
        <v>17</v>
      </c>
      <c r="B14" s="5" t="s">
        <v>18</v>
      </c>
    </row>
    <row r="15" spans="1:2" x14ac:dyDescent="0.2">
      <c r="A15" s="5" t="s">
        <v>19</v>
      </c>
      <c r="B15" s="5" t="s">
        <v>1068</v>
      </c>
    </row>
    <row r="16" spans="1:2" x14ac:dyDescent="0.2">
      <c r="A16" s="5" t="s">
        <v>20</v>
      </c>
      <c r="B16" s="5" t="s">
        <v>21</v>
      </c>
    </row>
    <row r="17" spans="1:2" x14ac:dyDescent="0.2">
      <c r="A17" s="5" t="s">
        <v>22</v>
      </c>
      <c r="B17" s="5" t="s">
        <v>1069</v>
      </c>
    </row>
    <row r="18" spans="1:2" x14ac:dyDescent="0.2">
      <c r="A18" s="5" t="s">
        <v>23</v>
      </c>
      <c r="B18" s="5" t="s">
        <v>1095</v>
      </c>
    </row>
    <row r="19" spans="1:2" x14ac:dyDescent="0.2">
      <c r="A19" s="5" t="s">
        <v>24</v>
      </c>
      <c r="B19" s="5" t="s">
        <v>25</v>
      </c>
    </row>
    <row r="20" spans="1:2" x14ac:dyDescent="0.2">
      <c r="A20" s="5" t="s">
        <v>26</v>
      </c>
      <c r="B20" s="5" t="s">
        <v>27</v>
      </c>
    </row>
    <row r="21" spans="1:2" x14ac:dyDescent="0.2">
      <c r="A21" s="5" t="s">
        <v>28</v>
      </c>
      <c r="B21" s="5" t="s">
        <v>29</v>
      </c>
    </row>
    <row r="22" spans="1:2" x14ac:dyDescent="0.2">
      <c r="A22" s="5" t="s">
        <v>30</v>
      </c>
      <c r="B22" s="5" t="s">
        <v>31</v>
      </c>
    </row>
    <row r="23" spans="1:2" x14ac:dyDescent="0.2">
      <c r="A23" s="5" t="s">
        <v>32</v>
      </c>
      <c r="B23" s="5" t="s">
        <v>33</v>
      </c>
    </row>
    <row r="24" spans="1:2" x14ac:dyDescent="0.2">
      <c r="A24" s="5" t="s">
        <v>34</v>
      </c>
      <c r="B24" s="5" t="s">
        <v>35</v>
      </c>
    </row>
    <row r="25" spans="1:2" x14ac:dyDescent="0.2">
      <c r="A25" s="5" t="s">
        <v>36</v>
      </c>
      <c r="B25" s="5" t="s">
        <v>37</v>
      </c>
    </row>
    <row r="26" spans="1:2" x14ac:dyDescent="0.2">
      <c r="A26" s="5" t="s">
        <v>38</v>
      </c>
      <c r="B26" s="5" t="s">
        <v>39</v>
      </c>
    </row>
    <row r="27" spans="1:2" x14ac:dyDescent="0.2">
      <c r="A27" s="5" t="s">
        <v>40</v>
      </c>
      <c r="B27" s="5" t="s">
        <v>41</v>
      </c>
    </row>
    <row r="28" spans="1:2" x14ac:dyDescent="0.2">
      <c r="A28" s="5" t="s">
        <v>42</v>
      </c>
      <c r="B28" s="5" t="s">
        <v>43</v>
      </c>
    </row>
    <row r="29" spans="1:2" x14ac:dyDescent="0.2">
      <c r="A29" s="5" t="s">
        <v>44</v>
      </c>
      <c r="B29" s="5" t="s">
        <v>45</v>
      </c>
    </row>
    <row r="30" spans="1:2" x14ac:dyDescent="0.2">
      <c r="A30" s="5" t="s">
        <v>46</v>
      </c>
      <c r="B30" s="5" t="s">
        <v>47</v>
      </c>
    </row>
    <row r="31" spans="1:2" x14ac:dyDescent="0.2">
      <c r="A31" s="5" t="s">
        <v>48</v>
      </c>
      <c r="B31" s="5" t="s">
        <v>49</v>
      </c>
    </row>
    <row r="32" spans="1:2" x14ac:dyDescent="0.2">
      <c r="A32" s="5" t="s">
        <v>50</v>
      </c>
      <c r="B32" s="5" t="s">
        <v>51</v>
      </c>
    </row>
    <row r="33" spans="1:2" x14ac:dyDescent="0.2">
      <c r="A33" s="5" t="s">
        <v>52</v>
      </c>
      <c r="B33" s="5" t="s">
        <v>53</v>
      </c>
    </row>
    <row r="34" spans="1:2" x14ac:dyDescent="0.2">
      <c r="A34" s="5" t="s">
        <v>54</v>
      </c>
      <c r="B34" s="5" t="s">
        <v>55</v>
      </c>
    </row>
    <row r="35" spans="1:2" x14ac:dyDescent="0.2">
      <c r="A35" s="5" t="s">
        <v>56</v>
      </c>
      <c r="B35" s="5" t="s">
        <v>57</v>
      </c>
    </row>
    <row r="36" spans="1:2" x14ac:dyDescent="0.2">
      <c r="A36" s="5" t="s">
        <v>58</v>
      </c>
      <c r="B36" s="5" t="s">
        <v>59</v>
      </c>
    </row>
    <row r="37" spans="1:2" x14ac:dyDescent="0.2">
      <c r="A37" s="5" t="s">
        <v>60</v>
      </c>
      <c r="B37" s="5" t="s">
        <v>61</v>
      </c>
    </row>
    <row r="38" spans="1:2" x14ac:dyDescent="0.2">
      <c r="A38" s="5" t="s">
        <v>62</v>
      </c>
      <c r="B38" s="5" t="s">
        <v>63</v>
      </c>
    </row>
    <row r="39" spans="1:2" x14ac:dyDescent="0.2">
      <c r="A39" s="5" t="s">
        <v>64</v>
      </c>
      <c r="B39" s="5" t="s">
        <v>65</v>
      </c>
    </row>
    <row r="40" spans="1:2" x14ac:dyDescent="0.2">
      <c r="A40" s="5" t="s">
        <v>66</v>
      </c>
      <c r="B40" s="5" t="s">
        <v>67</v>
      </c>
    </row>
    <row r="41" spans="1:2" x14ac:dyDescent="0.2">
      <c r="A41" s="5" t="s">
        <v>68</v>
      </c>
      <c r="B41" s="5" t="s">
        <v>69</v>
      </c>
    </row>
    <row r="42" spans="1:2" x14ac:dyDescent="0.2">
      <c r="A42" s="5" t="s">
        <v>1115</v>
      </c>
      <c r="B42" s="5" t="s">
        <v>1116</v>
      </c>
    </row>
    <row r="43" spans="1:2" x14ac:dyDescent="0.2">
      <c r="A43" s="5" t="s">
        <v>70</v>
      </c>
      <c r="B43" s="5" t="s">
        <v>71</v>
      </c>
    </row>
    <row r="44" spans="1:2" x14ac:dyDescent="0.2">
      <c r="A44" s="5" t="s">
        <v>1070</v>
      </c>
      <c r="B44" s="5" t="s">
        <v>1071</v>
      </c>
    </row>
    <row r="45" spans="1:2" x14ac:dyDescent="0.2">
      <c r="A45" s="5" t="s">
        <v>72</v>
      </c>
      <c r="B45" s="5" t="s">
        <v>73</v>
      </c>
    </row>
    <row r="46" spans="1:2" x14ac:dyDescent="0.2">
      <c r="A46" s="5" t="s">
        <v>74</v>
      </c>
      <c r="B46" s="5" t="s">
        <v>75</v>
      </c>
    </row>
    <row r="47" spans="1:2" x14ac:dyDescent="0.2">
      <c r="A47" s="5" t="s">
        <v>76</v>
      </c>
      <c r="B47" s="5" t="s">
        <v>77</v>
      </c>
    </row>
    <row r="48" spans="1:2" x14ac:dyDescent="0.2">
      <c r="A48" s="5" t="s">
        <v>78</v>
      </c>
      <c r="B48" s="5" t="s">
        <v>79</v>
      </c>
    </row>
    <row r="49" spans="1:2" x14ac:dyDescent="0.2">
      <c r="A49" s="5" t="s">
        <v>80</v>
      </c>
      <c r="B49" s="5" t="s">
        <v>81</v>
      </c>
    </row>
    <row r="50" spans="1:2" x14ac:dyDescent="0.2">
      <c r="A50" s="5" t="s">
        <v>82</v>
      </c>
      <c r="B50" s="5" t="s">
        <v>1072</v>
      </c>
    </row>
    <row r="51" spans="1:2" x14ac:dyDescent="0.2">
      <c r="A51" s="426" t="s">
        <v>1117</v>
      </c>
      <c r="B51" s="427" t="s">
        <v>1118</v>
      </c>
    </row>
    <row r="52" spans="1:2" x14ac:dyDescent="0.2">
      <c r="A52" s="5" t="s">
        <v>1073</v>
      </c>
      <c r="B52" s="5" t="s">
        <v>1074</v>
      </c>
    </row>
    <row r="53" spans="1:2" x14ac:dyDescent="0.2">
      <c r="A53" s="5" t="s">
        <v>1075</v>
      </c>
      <c r="B53" s="5" t="s">
        <v>1076</v>
      </c>
    </row>
    <row r="54" spans="1:2" x14ac:dyDescent="0.2">
      <c r="A54" s="5" t="s">
        <v>83</v>
      </c>
      <c r="B54" s="5" t="s">
        <v>84</v>
      </c>
    </row>
    <row r="55" spans="1:2" x14ac:dyDescent="0.2">
      <c r="A55" s="5" t="s">
        <v>894</v>
      </c>
      <c r="B55" s="5" t="s">
        <v>1096</v>
      </c>
    </row>
    <row r="56" spans="1:2" x14ac:dyDescent="0.2">
      <c r="A56" s="5" t="s">
        <v>85</v>
      </c>
      <c r="B56" s="5" t="s">
        <v>86</v>
      </c>
    </row>
    <row r="57" spans="1:2" x14ac:dyDescent="0.2">
      <c r="A57" s="5" t="s">
        <v>87</v>
      </c>
      <c r="B57" s="5" t="s">
        <v>88</v>
      </c>
    </row>
    <row r="58" spans="1:2" x14ac:dyDescent="0.2">
      <c r="A58" s="5" t="s">
        <v>89</v>
      </c>
      <c r="B58" s="5" t="s">
        <v>90</v>
      </c>
    </row>
    <row r="59" spans="1:2" x14ac:dyDescent="0.2">
      <c r="A59" s="5" t="s">
        <v>1077</v>
      </c>
      <c r="B59" s="5" t="s">
        <v>1097</v>
      </c>
    </row>
    <row r="60" spans="1:2" x14ac:dyDescent="0.2">
      <c r="A60" s="5" t="s">
        <v>91</v>
      </c>
      <c r="B60" s="5" t="s">
        <v>92</v>
      </c>
    </row>
    <row r="61" spans="1:2" x14ac:dyDescent="0.2">
      <c r="A61" s="5" t="s">
        <v>93</v>
      </c>
      <c r="B61" s="5" t="s">
        <v>94</v>
      </c>
    </row>
    <row r="62" spans="1:2" x14ac:dyDescent="0.2">
      <c r="A62" s="5" t="s">
        <v>95</v>
      </c>
      <c r="B62" s="5" t="s">
        <v>96</v>
      </c>
    </row>
    <row r="63" spans="1:2" x14ac:dyDescent="0.2">
      <c r="A63" s="5" t="s">
        <v>97</v>
      </c>
      <c r="B63" s="5" t="s">
        <v>98</v>
      </c>
    </row>
    <row r="64" spans="1:2" x14ac:dyDescent="0.2">
      <c r="A64" s="5" t="s">
        <v>99</v>
      </c>
      <c r="B64" s="5" t="s">
        <v>100</v>
      </c>
    </row>
    <row r="65" spans="1:2" x14ac:dyDescent="0.2">
      <c r="A65" s="5" t="s">
        <v>101</v>
      </c>
      <c r="B65" s="5" t="s">
        <v>102</v>
      </c>
    </row>
    <row r="66" spans="1:2" x14ac:dyDescent="0.2">
      <c r="A66" s="5" t="s">
        <v>103</v>
      </c>
      <c r="B66" s="5" t="s">
        <v>104</v>
      </c>
    </row>
    <row r="67" spans="1:2" x14ac:dyDescent="0.2">
      <c r="A67" s="5" t="s">
        <v>105</v>
      </c>
      <c r="B67" s="5" t="s">
        <v>106</v>
      </c>
    </row>
    <row r="68" spans="1:2" x14ac:dyDescent="0.2">
      <c r="A68" s="5" t="s">
        <v>107</v>
      </c>
      <c r="B68" s="5" t="s">
        <v>108</v>
      </c>
    </row>
    <row r="69" spans="1:2" x14ac:dyDescent="0.2">
      <c r="A69" s="5" t="s">
        <v>109</v>
      </c>
      <c r="B69" s="5" t="s">
        <v>110</v>
      </c>
    </row>
    <row r="70" spans="1:2" x14ac:dyDescent="0.2">
      <c r="A70" s="5" t="s">
        <v>111</v>
      </c>
      <c r="B70" s="5" t="s">
        <v>112</v>
      </c>
    </row>
    <row r="71" spans="1:2" x14ac:dyDescent="0.2">
      <c r="A71" s="5" t="s">
        <v>113</v>
      </c>
      <c r="B71" s="5" t="s">
        <v>114</v>
      </c>
    </row>
    <row r="72" spans="1:2" x14ac:dyDescent="0.2">
      <c r="A72" s="5" t="s">
        <v>115</v>
      </c>
      <c r="B72" s="5" t="s">
        <v>116</v>
      </c>
    </row>
    <row r="73" spans="1:2" x14ac:dyDescent="0.2">
      <c r="A73" s="5" t="s">
        <v>117</v>
      </c>
      <c r="B73" s="5" t="s">
        <v>118</v>
      </c>
    </row>
    <row r="74" spans="1:2" x14ac:dyDescent="0.2">
      <c r="A74" s="5" t="s">
        <v>119</v>
      </c>
      <c r="B74" s="5" t="s">
        <v>120</v>
      </c>
    </row>
    <row r="75" spans="1:2" x14ac:dyDescent="0.2">
      <c r="A75" s="5" t="s">
        <v>121</v>
      </c>
      <c r="B75" s="5" t="s">
        <v>122</v>
      </c>
    </row>
    <row r="76" spans="1:2" x14ac:dyDescent="0.2">
      <c r="A76" s="5" t="s">
        <v>123</v>
      </c>
      <c r="B76" s="5" t="s">
        <v>124</v>
      </c>
    </row>
    <row r="77" spans="1:2" x14ac:dyDescent="0.2">
      <c r="A77" s="5" t="s">
        <v>125</v>
      </c>
      <c r="B77" s="5" t="s">
        <v>126</v>
      </c>
    </row>
    <row r="78" spans="1:2" x14ac:dyDescent="0.2">
      <c r="A78" s="5" t="s">
        <v>127</v>
      </c>
      <c r="B78" s="5" t="s">
        <v>128</v>
      </c>
    </row>
    <row r="79" spans="1:2" x14ac:dyDescent="0.2">
      <c r="A79" s="5" t="s">
        <v>129</v>
      </c>
      <c r="B79" s="5" t="s">
        <v>130</v>
      </c>
    </row>
    <row r="80" spans="1:2" x14ac:dyDescent="0.2">
      <c r="A80" s="5" t="s">
        <v>131</v>
      </c>
      <c r="B80" s="5" t="s">
        <v>132</v>
      </c>
    </row>
    <row r="81" spans="1:2" x14ac:dyDescent="0.2">
      <c r="A81" s="5" t="s">
        <v>133</v>
      </c>
      <c r="B81" s="5" t="s">
        <v>134</v>
      </c>
    </row>
    <row r="82" spans="1:2" x14ac:dyDescent="0.2">
      <c r="A82" s="5" t="s">
        <v>135</v>
      </c>
      <c r="B82" s="5" t="s">
        <v>136</v>
      </c>
    </row>
    <row r="83" spans="1:2" x14ac:dyDescent="0.2">
      <c r="A83" s="5" t="s">
        <v>137</v>
      </c>
      <c r="B83" s="5" t="s">
        <v>138</v>
      </c>
    </row>
    <row r="84" spans="1:2" x14ac:dyDescent="0.2">
      <c r="A84" s="5" t="s">
        <v>139</v>
      </c>
      <c r="B84" s="5" t="s">
        <v>140</v>
      </c>
    </row>
    <row r="85" spans="1:2" x14ac:dyDescent="0.2">
      <c r="A85" s="5" t="s">
        <v>141</v>
      </c>
      <c r="B85" s="5" t="s">
        <v>142</v>
      </c>
    </row>
    <row r="86" spans="1:2" x14ac:dyDescent="0.2">
      <c r="A86" s="5" t="s">
        <v>143</v>
      </c>
      <c r="B86" s="5" t="s">
        <v>144</v>
      </c>
    </row>
    <row r="87" spans="1:2" x14ac:dyDescent="0.2">
      <c r="A87" s="5" t="s">
        <v>145</v>
      </c>
      <c r="B87" s="5" t="s">
        <v>146</v>
      </c>
    </row>
    <row r="88" spans="1:2" x14ac:dyDescent="0.2">
      <c r="A88" s="5" t="s">
        <v>147</v>
      </c>
      <c r="B88" s="5" t="s">
        <v>148</v>
      </c>
    </row>
    <row r="89" spans="1:2" x14ac:dyDescent="0.2">
      <c r="A89" s="5" t="s">
        <v>149</v>
      </c>
      <c r="B89" s="5" t="s">
        <v>150</v>
      </c>
    </row>
    <row r="90" spans="1:2" x14ac:dyDescent="0.2">
      <c r="A90" s="5" t="s">
        <v>151</v>
      </c>
      <c r="B90" s="5" t="s">
        <v>152</v>
      </c>
    </row>
    <row r="91" spans="1:2" x14ac:dyDescent="0.2">
      <c r="A91" s="5" t="s">
        <v>153</v>
      </c>
      <c r="B91" s="5" t="s">
        <v>154</v>
      </c>
    </row>
    <row r="92" spans="1:2" x14ac:dyDescent="0.2">
      <c r="A92" s="5" t="s">
        <v>155</v>
      </c>
      <c r="B92" s="5" t="s">
        <v>156</v>
      </c>
    </row>
    <row r="93" spans="1:2" x14ac:dyDescent="0.2">
      <c r="A93" s="5" t="s">
        <v>157</v>
      </c>
      <c r="B93" s="5" t="s">
        <v>158</v>
      </c>
    </row>
    <row r="94" spans="1:2" x14ac:dyDescent="0.2">
      <c r="A94" s="5" t="s">
        <v>159</v>
      </c>
      <c r="B94" s="5" t="s">
        <v>160</v>
      </c>
    </row>
    <row r="95" spans="1:2" x14ac:dyDescent="0.2">
      <c r="A95" s="5" t="s">
        <v>161</v>
      </c>
      <c r="B95" s="5" t="s">
        <v>162</v>
      </c>
    </row>
    <row r="96" spans="1:2" x14ac:dyDescent="0.2">
      <c r="A96" s="5" t="s">
        <v>163</v>
      </c>
      <c r="B96" s="5" t="s">
        <v>164</v>
      </c>
    </row>
    <row r="97" spans="1:2" x14ac:dyDescent="0.2">
      <c r="A97" s="5" t="s">
        <v>165</v>
      </c>
      <c r="B97" s="5" t="s">
        <v>166</v>
      </c>
    </row>
    <row r="98" spans="1:2" x14ac:dyDescent="0.2">
      <c r="A98" s="5" t="s">
        <v>167</v>
      </c>
      <c r="B98" s="5" t="s">
        <v>168</v>
      </c>
    </row>
    <row r="99" spans="1:2" x14ac:dyDescent="0.2">
      <c r="A99" s="5" t="s">
        <v>169</v>
      </c>
      <c r="B99" s="5" t="s">
        <v>170</v>
      </c>
    </row>
    <row r="100" spans="1:2" x14ac:dyDescent="0.2">
      <c r="A100" s="5" t="s">
        <v>171</v>
      </c>
      <c r="B100" s="5" t="s">
        <v>172</v>
      </c>
    </row>
    <row r="101" spans="1:2" x14ac:dyDescent="0.2">
      <c r="A101" s="5" t="s">
        <v>173</v>
      </c>
      <c r="B101" s="5" t="s">
        <v>174</v>
      </c>
    </row>
    <row r="102" spans="1:2" x14ac:dyDescent="0.2">
      <c r="A102" s="5" t="s">
        <v>175</v>
      </c>
      <c r="B102" s="5" t="s">
        <v>176</v>
      </c>
    </row>
    <row r="103" spans="1:2" x14ac:dyDescent="0.2">
      <c r="A103" s="5" t="s">
        <v>177</v>
      </c>
      <c r="B103" s="5" t="s">
        <v>178</v>
      </c>
    </row>
    <row r="104" spans="1:2" x14ac:dyDescent="0.2">
      <c r="A104" s="5" t="s">
        <v>179</v>
      </c>
      <c r="B104" s="5" t="s">
        <v>180</v>
      </c>
    </row>
    <row r="105" spans="1:2" x14ac:dyDescent="0.2">
      <c r="A105" s="5" t="s">
        <v>181</v>
      </c>
      <c r="B105" s="5" t="s">
        <v>182</v>
      </c>
    </row>
    <row r="106" spans="1:2" x14ac:dyDescent="0.2">
      <c r="A106" s="5" t="s">
        <v>183</v>
      </c>
      <c r="B106" s="5" t="s">
        <v>184</v>
      </c>
    </row>
    <row r="107" spans="1:2" x14ac:dyDescent="0.2">
      <c r="A107" s="5" t="s">
        <v>185</v>
      </c>
      <c r="B107" s="5" t="s">
        <v>186</v>
      </c>
    </row>
    <row r="108" spans="1:2" x14ac:dyDescent="0.2">
      <c r="A108" s="5" t="s">
        <v>187</v>
      </c>
      <c r="B108" s="5" t="s">
        <v>188</v>
      </c>
    </row>
    <row r="109" spans="1:2" x14ac:dyDescent="0.2">
      <c r="A109" s="5" t="s">
        <v>189</v>
      </c>
      <c r="B109" s="5" t="s">
        <v>190</v>
      </c>
    </row>
    <row r="110" spans="1:2" x14ac:dyDescent="0.2">
      <c r="A110" s="5" t="s">
        <v>191</v>
      </c>
      <c r="B110" s="5" t="s">
        <v>192</v>
      </c>
    </row>
    <row r="111" spans="1:2" x14ac:dyDescent="0.2">
      <c r="A111" s="5" t="s">
        <v>193</v>
      </c>
      <c r="B111" s="5" t="s">
        <v>194</v>
      </c>
    </row>
    <row r="112" spans="1:2" x14ac:dyDescent="0.2">
      <c r="A112" s="5" t="s">
        <v>195</v>
      </c>
      <c r="B112" s="5" t="s">
        <v>196</v>
      </c>
    </row>
    <row r="113" spans="1:2" x14ac:dyDescent="0.2">
      <c r="A113" s="5" t="s">
        <v>197</v>
      </c>
      <c r="B113" s="5" t="s">
        <v>198</v>
      </c>
    </row>
    <row r="114" spans="1:2" x14ac:dyDescent="0.2">
      <c r="A114" s="5" t="s">
        <v>199</v>
      </c>
      <c r="B114" s="5" t="s">
        <v>200</v>
      </c>
    </row>
    <row r="115" spans="1:2" x14ac:dyDescent="0.2">
      <c r="A115" s="5" t="s">
        <v>201</v>
      </c>
      <c r="B115" s="5" t="s">
        <v>202</v>
      </c>
    </row>
    <row r="116" spans="1:2" x14ac:dyDescent="0.2">
      <c r="A116" s="5" t="s">
        <v>203</v>
      </c>
      <c r="B116" s="5" t="s">
        <v>204</v>
      </c>
    </row>
    <row r="117" spans="1:2" x14ac:dyDescent="0.2">
      <c r="A117" s="5" t="s">
        <v>205</v>
      </c>
      <c r="B117" s="5" t="s">
        <v>206</v>
      </c>
    </row>
    <row r="118" spans="1:2" x14ac:dyDescent="0.2">
      <c r="A118" s="5" t="s">
        <v>207</v>
      </c>
      <c r="B118" s="5" t="s">
        <v>208</v>
      </c>
    </row>
    <row r="119" spans="1:2" x14ac:dyDescent="0.2">
      <c r="A119" s="5" t="s">
        <v>209</v>
      </c>
      <c r="B119" s="5" t="s">
        <v>210</v>
      </c>
    </row>
    <row r="120" spans="1:2" x14ac:dyDescent="0.2">
      <c r="A120" s="5" t="s">
        <v>211</v>
      </c>
      <c r="B120" s="5" t="s">
        <v>212</v>
      </c>
    </row>
    <row r="121" spans="1:2" x14ac:dyDescent="0.2">
      <c r="A121" s="5" t="s">
        <v>213</v>
      </c>
      <c r="B121" s="5" t="s">
        <v>214</v>
      </c>
    </row>
    <row r="122" spans="1:2" x14ac:dyDescent="0.2">
      <c r="A122" s="5" t="s">
        <v>215</v>
      </c>
      <c r="B122" s="5" t="s">
        <v>216</v>
      </c>
    </row>
    <row r="123" spans="1:2" x14ac:dyDescent="0.2">
      <c r="A123" s="426" t="s">
        <v>217</v>
      </c>
      <c r="B123" s="427" t="s">
        <v>1119</v>
      </c>
    </row>
    <row r="124" spans="1:2" x14ac:dyDescent="0.2">
      <c r="A124" s="5" t="s">
        <v>218</v>
      </c>
      <c r="B124" s="5" t="s">
        <v>219</v>
      </c>
    </row>
    <row r="125" spans="1:2" x14ac:dyDescent="0.2">
      <c r="A125" s="5" t="s">
        <v>220</v>
      </c>
      <c r="B125" s="5" t="s">
        <v>221</v>
      </c>
    </row>
    <row r="126" spans="1:2" x14ac:dyDescent="0.2">
      <c r="A126" s="5" t="s">
        <v>222</v>
      </c>
      <c r="B126" s="5" t="s">
        <v>223</v>
      </c>
    </row>
    <row r="127" spans="1:2" x14ac:dyDescent="0.2">
      <c r="A127" s="5" t="s">
        <v>224</v>
      </c>
      <c r="B127" s="5" t="s">
        <v>225</v>
      </c>
    </row>
    <row r="128" spans="1:2" x14ac:dyDescent="0.2">
      <c r="A128" s="5" t="s">
        <v>226</v>
      </c>
      <c r="B128" s="5" t="s">
        <v>227</v>
      </c>
    </row>
    <row r="129" spans="1:2" x14ac:dyDescent="0.2">
      <c r="A129" s="5" t="s">
        <v>228</v>
      </c>
      <c r="B129" s="5" t="s">
        <v>229</v>
      </c>
    </row>
    <row r="130" spans="1:2" x14ac:dyDescent="0.2">
      <c r="A130" s="5" t="s">
        <v>230</v>
      </c>
      <c r="B130" s="5" t="s">
        <v>1098</v>
      </c>
    </row>
    <row r="131" spans="1:2" x14ac:dyDescent="0.2">
      <c r="A131" s="5" t="s">
        <v>231</v>
      </c>
      <c r="B131" s="5" t="s">
        <v>232</v>
      </c>
    </row>
    <row r="132" spans="1:2" x14ac:dyDescent="0.2">
      <c r="A132" s="5" t="s">
        <v>233</v>
      </c>
      <c r="B132" s="5" t="s">
        <v>234</v>
      </c>
    </row>
    <row r="133" spans="1:2" x14ac:dyDescent="0.2">
      <c r="A133" s="5" t="s">
        <v>235</v>
      </c>
      <c r="B133" s="5" t="s">
        <v>236</v>
      </c>
    </row>
    <row r="134" spans="1:2" x14ac:dyDescent="0.2">
      <c r="A134" s="5" t="s">
        <v>237</v>
      </c>
      <c r="B134" s="5" t="s">
        <v>238</v>
      </c>
    </row>
    <row r="135" spans="1:2" x14ac:dyDescent="0.2">
      <c r="A135" s="5" t="s">
        <v>239</v>
      </c>
      <c r="B135" s="5" t="s">
        <v>240</v>
      </c>
    </row>
    <row r="136" spans="1:2" x14ac:dyDescent="0.2">
      <c r="A136" s="5" t="s">
        <v>241</v>
      </c>
      <c r="B136" s="5" t="s">
        <v>242</v>
      </c>
    </row>
    <row r="137" spans="1:2" x14ac:dyDescent="0.2">
      <c r="A137" s="5" t="s">
        <v>243</v>
      </c>
      <c r="B137" s="5" t="s">
        <v>244</v>
      </c>
    </row>
    <row r="138" spans="1:2" x14ac:dyDescent="0.2">
      <c r="A138" s="5" t="s">
        <v>245</v>
      </c>
      <c r="B138" s="5" t="s">
        <v>246</v>
      </c>
    </row>
    <row r="139" spans="1:2" x14ac:dyDescent="0.2">
      <c r="A139" s="5" t="s">
        <v>247</v>
      </c>
      <c r="B139" s="5" t="s">
        <v>248</v>
      </c>
    </row>
    <row r="140" spans="1:2" x14ac:dyDescent="0.2">
      <c r="A140" s="5" t="s">
        <v>249</v>
      </c>
      <c r="B140" s="5" t="s">
        <v>250</v>
      </c>
    </row>
    <row r="141" spans="1:2" x14ac:dyDescent="0.2">
      <c r="A141" s="5" t="s">
        <v>251</v>
      </c>
      <c r="B141" s="5" t="s">
        <v>252</v>
      </c>
    </row>
    <row r="142" spans="1:2" x14ac:dyDescent="0.2">
      <c r="A142" s="5" t="s">
        <v>253</v>
      </c>
      <c r="B142" s="5" t="s">
        <v>254</v>
      </c>
    </row>
    <row r="143" spans="1:2" x14ac:dyDescent="0.2">
      <c r="A143" s="5" t="s">
        <v>255</v>
      </c>
      <c r="B143" s="5" t="s">
        <v>256</v>
      </c>
    </row>
    <row r="144" spans="1:2" x14ac:dyDescent="0.2">
      <c r="A144" s="5" t="s">
        <v>257</v>
      </c>
      <c r="B144" s="5" t="s">
        <v>258</v>
      </c>
    </row>
    <row r="145" spans="1:2" x14ac:dyDescent="0.2">
      <c r="A145" s="5" t="s">
        <v>259</v>
      </c>
      <c r="B145" s="5" t="s">
        <v>260</v>
      </c>
    </row>
    <row r="146" spans="1:2" x14ac:dyDescent="0.2">
      <c r="A146" s="5" t="s">
        <v>261</v>
      </c>
      <c r="B146" s="5" t="s">
        <v>262</v>
      </c>
    </row>
    <row r="147" spans="1:2" x14ac:dyDescent="0.2">
      <c r="A147" s="5" t="s">
        <v>263</v>
      </c>
      <c r="B147" s="5" t="s">
        <v>264</v>
      </c>
    </row>
    <row r="148" spans="1:2" x14ac:dyDescent="0.2">
      <c r="A148" s="5" t="s">
        <v>265</v>
      </c>
      <c r="B148" s="5" t="s">
        <v>266</v>
      </c>
    </row>
    <row r="149" spans="1:2" x14ac:dyDescent="0.2">
      <c r="A149" s="5" t="s">
        <v>267</v>
      </c>
      <c r="B149" s="5" t="s">
        <v>268</v>
      </c>
    </row>
    <row r="150" spans="1:2" x14ac:dyDescent="0.2">
      <c r="A150" s="5" t="s">
        <v>269</v>
      </c>
      <c r="B150" s="5" t="s">
        <v>270</v>
      </c>
    </row>
    <row r="151" spans="1:2" x14ac:dyDescent="0.2">
      <c r="A151" s="5" t="s">
        <v>271</v>
      </c>
      <c r="B151" s="5" t="s">
        <v>272</v>
      </c>
    </row>
    <row r="152" spans="1:2" x14ac:dyDescent="0.2">
      <c r="A152" s="5" t="s">
        <v>273</v>
      </c>
      <c r="B152" s="5" t="s">
        <v>274</v>
      </c>
    </row>
    <row r="153" spans="1:2" x14ac:dyDescent="0.2">
      <c r="A153" s="5" t="s">
        <v>275</v>
      </c>
      <c r="B153" s="5" t="s">
        <v>276</v>
      </c>
    </row>
    <row r="154" spans="1:2" x14ac:dyDescent="0.2">
      <c r="A154" s="5" t="s">
        <v>277</v>
      </c>
      <c r="B154" s="5" t="s">
        <v>278</v>
      </c>
    </row>
    <row r="155" spans="1:2" x14ac:dyDescent="0.2">
      <c r="A155" s="426" t="s">
        <v>279</v>
      </c>
      <c r="B155" s="426" t="s">
        <v>280</v>
      </c>
    </row>
    <row r="156" spans="1:2" x14ac:dyDescent="0.2">
      <c r="A156" s="5" t="s">
        <v>281</v>
      </c>
      <c r="B156" s="5" t="s">
        <v>282</v>
      </c>
    </row>
    <row r="157" spans="1:2" x14ac:dyDescent="0.2">
      <c r="A157" s="5" t="s">
        <v>283</v>
      </c>
      <c r="B157" s="5" t="s">
        <v>284</v>
      </c>
    </row>
    <row r="158" spans="1:2" x14ac:dyDescent="0.2">
      <c r="A158" s="5" t="s">
        <v>285</v>
      </c>
      <c r="B158" s="5" t="s">
        <v>286</v>
      </c>
    </row>
    <row r="159" spans="1:2" x14ac:dyDescent="0.2">
      <c r="A159" s="5" t="s">
        <v>287</v>
      </c>
      <c r="B159" s="5" t="s">
        <v>288</v>
      </c>
    </row>
    <row r="160" spans="1:2" x14ac:dyDescent="0.2">
      <c r="A160" s="5" t="s">
        <v>289</v>
      </c>
      <c r="B160" s="5" t="s">
        <v>290</v>
      </c>
    </row>
    <row r="161" spans="1:2" x14ac:dyDescent="0.2">
      <c r="A161" s="5" t="s">
        <v>291</v>
      </c>
      <c r="B161" s="5" t="s">
        <v>292</v>
      </c>
    </row>
    <row r="162" spans="1:2" x14ac:dyDescent="0.2">
      <c r="A162" s="5" t="s">
        <v>293</v>
      </c>
      <c r="B162" s="5" t="s">
        <v>294</v>
      </c>
    </row>
    <row r="163" spans="1:2" x14ac:dyDescent="0.2">
      <c r="A163" s="5" t="s">
        <v>295</v>
      </c>
      <c r="B163" s="5" t="s">
        <v>296</v>
      </c>
    </row>
    <row r="164" spans="1:2" x14ac:dyDescent="0.2">
      <c r="A164" s="5" t="s">
        <v>297</v>
      </c>
      <c r="B164" s="5" t="s">
        <v>298</v>
      </c>
    </row>
    <row r="165" spans="1:2" x14ac:dyDescent="0.2">
      <c r="A165" s="426" t="s">
        <v>1120</v>
      </c>
      <c r="B165" s="427" t="s">
        <v>1121</v>
      </c>
    </row>
    <row r="166" spans="1:2" x14ac:dyDescent="0.2">
      <c r="A166" s="5" t="s">
        <v>299</v>
      </c>
      <c r="B166" s="5" t="s">
        <v>300</v>
      </c>
    </row>
    <row r="167" spans="1:2" x14ac:dyDescent="0.2">
      <c r="A167" s="5" t="s">
        <v>301</v>
      </c>
      <c r="B167" s="5" t="s">
        <v>302</v>
      </c>
    </row>
    <row r="168" spans="1:2" x14ac:dyDescent="0.2">
      <c r="A168" s="5" t="s">
        <v>303</v>
      </c>
      <c r="B168" s="5" t="s">
        <v>304</v>
      </c>
    </row>
    <row r="169" spans="1:2" x14ac:dyDescent="0.2">
      <c r="A169" s="5" t="s">
        <v>305</v>
      </c>
      <c r="B169" s="5" t="s">
        <v>306</v>
      </c>
    </row>
    <row r="170" spans="1:2" x14ac:dyDescent="0.2">
      <c r="A170" s="5" t="s">
        <v>307</v>
      </c>
      <c r="B170" s="5" t="s">
        <v>308</v>
      </c>
    </row>
    <row r="171" spans="1:2" x14ac:dyDescent="0.2">
      <c r="A171" s="5" t="s">
        <v>309</v>
      </c>
      <c r="B171" s="5" t="s">
        <v>310</v>
      </c>
    </row>
    <row r="172" spans="1:2" x14ac:dyDescent="0.2">
      <c r="A172" s="5" t="s">
        <v>311</v>
      </c>
      <c r="B172" s="5" t="s">
        <v>1099</v>
      </c>
    </row>
    <row r="173" spans="1:2" x14ac:dyDescent="0.2">
      <c r="A173" s="5" t="s">
        <v>312</v>
      </c>
      <c r="B173" s="5" t="s">
        <v>313</v>
      </c>
    </row>
    <row r="174" spans="1:2" x14ac:dyDescent="0.2">
      <c r="A174" s="5" t="s">
        <v>1100</v>
      </c>
      <c r="B174" s="5" t="s">
        <v>1101</v>
      </c>
    </row>
    <row r="175" spans="1:2" x14ac:dyDescent="0.2">
      <c r="A175" s="5" t="s">
        <v>1078</v>
      </c>
      <c r="B175" s="5" t="s">
        <v>1079</v>
      </c>
    </row>
    <row r="176" spans="1:2" x14ac:dyDescent="0.2">
      <c r="A176" s="5" t="s">
        <v>314</v>
      </c>
      <c r="B176" s="5" t="s">
        <v>315</v>
      </c>
    </row>
    <row r="177" spans="1:2" x14ac:dyDescent="0.2">
      <c r="A177" s="5" t="s">
        <v>316</v>
      </c>
      <c r="B177" s="5" t="s">
        <v>317</v>
      </c>
    </row>
    <row r="178" spans="1:2" x14ac:dyDescent="0.2">
      <c r="A178" s="5" t="s">
        <v>318</v>
      </c>
      <c r="B178" s="5" t="s">
        <v>319</v>
      </c>
    </row>
    <row r="179" spans="1:2" x14ac:dyDescent="0.2">
      <c r="A179" s="5" t="s">
        <v>320</v>
      </c>
      <c r="B179" s="5" t="s">
        <v>321</v>
      </c>
    </row>
    <row r="180" spans="1:2" x14ac:dyDescent="0.2">
      <c r="A180" s="5" t="s">
        <v>322</v>
      </c>
      <c r="B180" s="5" t="s">
        <v>323</v>
      </c>
    </row>
    <row r="181" spans="1:2" x14ac:dyDescent="0.2">
      <c r="A181" s="5" t="s">
        <v>324</v>
      </c>
      <c r="B181" s="5" t="s">
        <v>325</v>
      </c>
    </row>
    <row r="182" spans="1:2" x14ac:dyDescent="0.2">
      <c r="A182" s="5" t="s">
        <v>326</v>
      </c>
      <c r="B182" s="5" t="s">
        <v>327</v>
      </c>
    </row>
    <row r="183" spans="1:2" x14ac:dyDescent="0.2">
      <c r="A183" s="5" t="s">
        <v>328</v>
      </c>
      <c r="B183" s="5" t="s">
        <v>329</v>
      </c>
    </row>
    <row r="184" spans="1:2" x14ac:dyDescent="0.2">
      <c r="A184" s="5" t="s">
        <v>330</v>
      </c>
      <c r="B184" s="5" t="s">
        <v>331</v>
      </c>
    </row>
    <row r="185" spans="1:2" x14ac:dyDescent="0.2">
      <c r="A185" s="5" t="s">
        <v>332</v>
      </c>
      <c r="B185" s="5" t="s">
        <v>333</v>
      </c>
    </row>
    <row r="186" spans="1:2" x14ac:dyDescent="0.2">
      <c r="A186" s="5" t="s">
        <v>334</v>
      </c>
      <c r="B186" s="5" t="s">
        <v>335</v>
      </c>
    </row>
    <row r="187" spans="1:2" x14ac:dyDescent="0.2">
      <c r="A187" s="5" t="s">
        <v>336</v>
      </c>
      <c r="B187" s="5" t="s">
        <v>337</v>
      </c>
    </row>
    <row r="188" spans="1:2" x14ac:dyDescent="0.2">
      <c r="A188" s="5" t="s">
        <v>338</v>
      </c>
      <c r="B188" s="5" t="s">
        <v>339</v>
      </c>
    </row>
    <row r="189" spans="1:2" x14ac:dyDescent="0.2">
      <c r="A189" s="5" t="s">
        <v>340</v>
      </c>
      <c r="B189" s="5" t="s">
        <v>341</v>
      </c>
    </row>
    <row r="190" spans="1:2" x14ac:dyDescent="0.2">
      <c r="A190" s="5" t="s">
        <v>342</v>
      </c>
      <c r="B190" s="5" t="s">
        <v>343</v>
      </c>
    </row>
    <row r="191" spans="1:2" x14ac:dyDescent="0.2">
      <c r="A191" s="5" t="s">
        <v>344</v>
      </c>
      <c r="B191" s="5" t="s">
        <v>345</v>
      </c>
    </row>
    <row r="192" spans="1:2" x14ac:dyDescent="0.2">
      <c r="A192" s="5" t="s">
        <v>346</v>
      </c>
      <c r="B192" s="5" t="s">
        <v>347</v>
      </c>
    </row>
    <row r="193" spans="1:2" x14ac:dyDescent="0.2">
      <c r="A193" s="5" t="s">
        <v>348</v>
      </c>
      <c r="B193" s="5" t="s">
        <v>349</v>
      </c>
    </row>
    <row r="194" spans="1:2" x14ac:dyDescent="0.2">
      <c r="A194" s="5" t="s">
        <v>350</v>
      </c>
      <c r="B194" s="5" t="s">
        <v>351</v>
      </c>
    </row>
    <row r="195" spans="1:2" x14ac:dyDescent="0.2">
      <c r="A195" s="5" t="s">
        <v>352</v>
      </c>
      <c r="B195" s="5" t="s">
        <v>353</v>
      </c>
    </row>
    <row r="196" spans="1:2" x14ac:dyDescent="0.2">
      <c r="A196" s="5" t="s">
        <v>354</v>
      </c>
      <c r="B196" s="5" t="s">
        <v>355</v>
      </c>
    </row>
    <row r="197" spans="1:2" x14ac:dyDescent="0.2">
      <c r="A197" s="5" t="s">
        <v>356</v>
      </c>
      <c r="B197" s="5" t="s">
        <v>357</v>
      </c>
    </row>
    <row r="198" spans="1:2" x14ac:dyDescent="0.2">
      <c r="A198" s="5" t="s">
        <v>358</v>
      </c>
      <c r="B198" s="5" t="s">
        <v>359</v>
      </c>
    </row>
    <row r="199" spans="1:2" x14ac:dyDescent="0.2">
      <c r="A199" s="5" t="s">
        <v>360</v>
      </c>
      <c r="B199" s="5" t="s">
        <v>361</v>
      </c>
    </row>
    <row r="200" spans="1:2" x14ac:dyDescent="0.2">
      <c r="A200" s="5" t="s">
        <v>362</v>
      </c>
      <c r="B200" s="5" t="s">
        <v>363</v>
      </c>
    </row>
    <row r="201" spans="1:2" x14ac:dyDescent="0.2">
      <c r="A201" s="5" t="s">
        <v>364</v>
      </c>
      <c r="B201" s="5" t="s">
        <v>365</v>
      </c>
    </row>
    <row r="202" spans="1:2" x14ac:dyDescent="0.2">
      <c r="A202" s="5" t="s">
        <v>366</v>
      </c>
      <c r="B202" s="5" t="s">
        <v>367</v>
      </c>
    </row>
    <row r="203" spans="1:2" x14ac:dyDescent="0.2">
      <c r="A203" s="5" t="s">
        <v>368</v>
      </c>
      <c r="B203" s="5" t="s">
        <v>369</v>
      </c>
    </row>
    <row r="204" spans="1:2" x14ac:dyDescent="0.2">
      <c r="A204" s="5" t="s">
        <v>370</v>
      </c>
      <c r="B204" s="5" t="s">
        <v>371</v>
      </c>
    </row>
    <row r="205" spans="1:2" x14ac:dyDescent="0.2">
      <c r="A205" s="7"/>
      <c r="B205" s="8"/>
    </row>
    <row r="206" spans="1:2" x14ac:dyDescent="0.2">
      <c r="A206" s="6"/>
      <c r="B206" s="6"/>
    </row>
    <row r="207" spans="1:2" x14ac:dyDescent="0.2">
      <c r="A207" s="7"/>
      <c r="B207" s="11"/>
    </row>
    <row r="208" spans="1:2" x14ac:dyDescent="0.2">
      <c r="A208" s="6"/>
      <c r="B208" s="6"/>
    </row>
    <row r="209" spans="1:2" x14ac:dyDescent="0.2">
      <c r="A209" s="9"/>
      <c r="B209" s="10"/>
    </row>
    <row r="210" spans="1:2" x14ac:dyDescent="0.2">
      <c r="A210" s="6"/>
      <c r="B210" s="6"/>
    </row>
    <row r="211" spans="1:2" x14ac:dyDescent="0.2">
      <c r="A211" s="7"/>
      <c r="B211" s="8"/>
    </row>
    <row r="212" spans="1:2" x14ac:dyDescent="0.2">
      <c r="A212" s="6"/>
      <c r="B212" s="6"/>
    </row>
    <row r="213" spans="1:2" x14ac:dyDescent="0.2">
      <c r="A213" s="7"/>
      <c r="B213" s="8"/>
    </row>
    <row r="214" spans="1:2" x14ac:dyDescent="0.2">
      <c r="A214" s="6"/>
      <c r="B214" s="6"/>
    </row>
    <row r="215" spans="1:2" x14ac:dyDescent="0.2">
      <c r="A215" s="6"/>
      <c r="B215" s="6"/>
    </row>
    <row r="216" spans="1:2" x14ac:dyDescent="0.2">
      <c r="A216" s="7"/>
      <c r="B216" s="8"/>
    </row>
    <row r="217" spans="1:2" x14ac:dyDescent="0.2">
      <c r="A217" s="6"/>
      <c r="B217" s="6"/>
    </row>
    <row r="218" spans="1:2" x14ac:dyDescent="0.2">
      <c r="A218" s="7"/>
      <c r="B218" s="8"/>
    </row>
    <row r="219" spans="1:2" x14ac:dyDescent="0.2">
      <c r="A219" s="6"/>
      <c r="B219" s="6"/>
    </row>
    <row r="220" spans="1:2" x14ac:dyDescent="0.2">
      <c r="A220" s="7"/>
      <c r="B220" s="8"/>
    </row>
    <row r="221" spans="1:2" x14ac:dyDescent="0.2">
      <c r="A221" s="7"/>
      <c r="B221" s="8"/>
    </row>
    <row r="222" spans="1:2" x14ac:dyDescent="0.2">
      <c r="A222" s="6"/>
      <c r="B222" s="6"/>
    </row>
    <row r="223" spans="1:2" x14ac:dyDescent="0.2">
      <c r="A223" s="7"/>
      <c r="B223" s="8"/>
    </row>
    <row r="224" spans="1:2" x14ac:dyDescent="0.2">
      <c r="A224" s="6"/>
      <c r="B224" s="6"/>
    </row>
    <row r="225" spans="1:2" x14ac:dyDescent="0.2">
      <c r="A225" s="7"/>
      <c r="B225" s="8"/>
    </row>
    <row r="226" spans="1:2" x14ac:dyDescent="0.2">
      <c r="A226" s="9"/>
      <c r="B226" s="10"/>
    </row>
    <row r="227" spans="1:2" x14ac:dyDescent="0.2">
      <c r="A227" s="7"/>
      <c r="B227" s="8"/>
    </row>
    <row r="228" spans="1:2" x14ac:dyDescent="0.2">
      <c r="A228" s="7"/>
      <c r="B228" s="8"/>
    </row>
    <row r="229" spans="1:2" x14ac:dyDescent="0.2">
      <c r="A229" s="7"/>
      <c r="B229" s="8"/>
    </row>
    <row r="230" spans="1:2" x14ac:dyDescent="0.2">
      <c r="A230" s="6"/>
      <c r="B230" s="6"/>
    </row>
    <row r="231" spans="1:2" x14ac:dyDescent="0.2">
      <c r="A231" s="7"/>
      <c r="B231" s="11"/>
    </row>
    <row r="232" spans="1:2" x14ac:dyDescent="0.2">
      <c r="A232" s="7"/>
      <c r="B232" s="8"/>
    </row>
    <row r="233" spans="1:2" x14ac:dyDescent="0.2">
      <c r="A233" s="6"/>
      <c r="B233" s="6"/>
    </row>
    <row r="234" spans="1:2" x14ac:dyDescent="0.2">
      <c r="A234" s="7"/>
      <c r="B234" s="8"/>
    </row>
    <row r="235" spans="1:2" x14ac:dyDescent="0.2">
      <c r="A235" s="7"/>
      <c r="B235" s="8"/>
    </row>
    <row r="236" spans="1:2" x14ac:dyDescent="0.2">
      <c r="A236" s="6"/>
      <c r="B236" s="6"/>
    </row>
    <row r="237" spans="1:2" x14ac:dyDescent="0.2">
      <c r="A237" s="12"/>
      <c r="B237" s="11"/>
    </row>
  </sheetData>
  <sheetProtection password="DC0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B270"/>
  <sheetViews>
    <sheetView topLeftCell="N1" zoomScale="85" zoomScaleNormal="85" workbookViewId="0">
      <selection activeCell="R42" sqref="R42"/>
    </sheetView>
  </sheetViews>
  <sheetFormatPr defaultRowHeight="15" x14ac:dyDescent="0.25"/>
  <cols>
    <col min="1" max="2" width="48.85546875" bestFit="1" customWidth="1"/>
    <col min="3" max="3" width="48.85546875" customWidth="1"/>
    <col min="5" max="5" width="50.5703125" customWidth="1"/>
    <col min="7" max="7" width="48.85546875" bestFit="1" customWidth="1"/>
    <col min="9" max="9" width="17.7109375" bestFit="1" customWidth="1"/>
    <col min="10" max="10" width="8.7109375" customWidth="1"/>
    <col min="11" max="11" width="39.140625" bestFit="1" customWidth="1"/>
    <col min="13" max="13" width="50.5703125" bestFit="1" customWidth="1"/>
    <col min="14" max="14" width="9.7109375" style="15" customWidth="1"/>
    <col min="15" max="15" width="41" style="15" bestFit="1" customWidth="1"/>
    <col min="16" max="17" width="9.7109375" style="15" customWidth="1"/>
    <col min="18" max="18" width="13.42578125" style="15" customWidth="1"/>
    <col min="19" max="19" width="12.7109375" style="15" customWidth="1"/>
    <col min="20" max="20" width="30.85546875" style="15" bestFit="1" customWidth="1"/>
    <col min="21" max="21" width="9.7109375" bestFit="1" customWidth="1"/>
    <col min="22" max="22" width="15.7109375" bestFit="1" customWidth="1"/>
    <col min="23" max="24" width="11.85546875" customWidth="1"/>
    <col min="26" max="26" width="39.85546875" customWidth="1"/>
    <col min="27" max="27" width="15.5703125" bestFit="1" customWidth="1"/>
    <col min="28" max="28" width="26" bestFit="1" customWidth="1"/>
  </cols>
  <sheetData>
    <row r="1" spans="1:28" ht="15.75" thickBot="1" x14ac:dyDescent="0.3">
      <c r="A1" s="198" t="s">
        <v>372</v>
      </c>
      <c r="B1" s="13">
        <v>42912</v>
      </c>
      <c r="C1" s="14">
        <f>YEAR($B$1)</f>
        <v>2017</v>
      </c>
      <c r="W1" s="16"/>
    </row>
    <row r="2" spans="1:28" ht="15.75" thickBot="1" x14ac:dyDescent="0.3">
      <c r="A2" s="17" t="s">
        <v>373</v>
      </c>
      <c r="B2" s="17" t="s">
        <v>374</v>
      </c>
      <c r="C2" s="17" t="s">
        <v>375</v>
      </c>
      <c r="E2" s="466" t="s">
        <v>376</v>
      </c>
      <c r="F2" s="467"/>
      <c r="G2" s="467"/>
      <c r="H2" s="467"/>
      <c r="I2" s="467"/>
      <c r="J2" s="467"/>
      <c r="K2" s="467"/>
      <c r="L2" s="467"/>
      <c r="M2" s="467"/>
      <c r="N2" s="467"/>
      <c r="O2" s="467"/>
      <c r="P2" s="467"/>
      <c r="Q2" s="467"/>
      <c r="R2" s="467"/>
      <c r="S2" s="467"/>
      <c r="T2" s="468"/>
      <c r="V2" s="17" t="s">
        <v>377</v>
      </c>
      <c r="W2" s="18"/>
      <c r="X2" s="17" t="s">
        <v>378</v>
      </c>
      <c r="Z2" s="17" t="s">
        <v>816</v>
      </c>
      <c r="AA2" s="41"/>
      <c r="AB2" s="41"/>
    </row>
    <row r="3" spans="1:28" x14ac:dyDescent="0.25">
      <c r="A3" s="19" t="s">
        <v>379</v>
      </c>
      <c r="B3" s="19" t="s">
        <v>379</v>
      </c>
      <c r="C3" s="19" t="s">
        <v>379</v>
      </c>
      <c r="E3" s="144"/>
      <c r="U3" s="20"/>
      <c r="V3" s="19" t="s">
        <v>379</v>
      </c>
      <c r="W3" s="21"/>
      <c r="X3" s="19" t="s">
        <v>379</v>
      </c>
      <c r="Z3" s="19" t="s">
        <v>379</v>
      </c>
    </row>
    <row r="4" spans="1:28" x14ac:dyDescent="0.25">
      <c r="A4" t="s">
        <v>380</v>
      </c>
      <c r="B4" t="s">
        <v>380</v>
      </c>
      <c r="C4" t="s">
        <v>380</v>
      </c>
      <c r="E4" s="17" t="s">
        <v>1063</v>
      </c>
      <c r="G4" s="17" t="s">
        <v>1065</v>
      </c>
      <c r="I4" s="22" t="s">
        <v>911</v>
      </c>
      <c r="J4" s="27"/>
      <c r="K4" s="66" t="s">
        <v>1067</v>
      </c>
      <c r="M4" s="23" t="s">
        <v>943</v>
      </c>
      <c r="O4" s="330" t="s">
        <v>1002</v>
      </c>
      <c r="Q4" s="24" t="s">
        <v>381</v>
      </c>
      <c r="R4" s="25"/>
      <c r="S4" s="25"/>
      <c r="T4" s="25"/>
      <c r="U4" s="20"/>
      <c r="V4" t="s">
        <v>382</v>
      </c>
      <c r="W4" s="16"/>
      <c r="X4" t="s">
        <v>383</v>
      </c>
      <c r="Z4" t="s">
        <v>384</v>
      </c>
    </row>
    <row r="5" spans="1:28" x14ac:dyDescent="0.25">
      <c r="A5" t="s">
        <v>385</v>
      </c>
      <c r="B5" t="s">
        <v>385</v>
      </c>
      <c r="C5" t="s">
        <v>385</v>
      </c>
      <c r="E5" s="398" t="s">
        <v>386</v>
      </c>
      <c r="G5" s="398" t="s">
        <v>380</v>
      </c>
      <c r="I5" t="s">
        <v>514</v>
      </c>
      <c r="J5" s="15"/>
      <c r="K5" s="64" t="s">
        <v>430</v>
      </c>
      <c r="M5" s="26" t="s">
        <v>380</v>
      </c>
      <c r="O5" s="329" t="s">
        <v>444</v>
      </c>
      <c r="Q5" s="289">
        <v>2025</v>
      </c>
      <c r="R5" s="290">
        <v>45658</v>
      </c>
      <c r="S5" s="291" t="s">
        <v>460</v>
      </c>
      <c r="T5" s="291" t="s">
        <v>388</v>
      </c>
      <c r="U5" s="20"/>
      <c r="V5" t="s">
        <v>389</v>
      </c>
      <c r="W5" s="16"/>
      <c r="X5" t="s">
        <v>390</v>
      </c>
      <c r="Z5" t="s">
        <v>391</v>
      </c>
    </row>
    <row r="6" spans="1:28" x14ac:dyDescent="0.25">
      <c r="A6" t="s">
        <v>392</v>
      </c>
      <c r="B6" t="s">
        <v>392</v>
      </c>
      <c r="C6" t="s">
        <v>392</v>
      </c>
      <c r="E6" s="398" t="s">
        <v>394</v>
      </c>
      <c r="G6" s="398" t="s">
        <v>393</v>
      </c>
      <c r="I6" t="s">
        <v>449</v>
      </c>
      <c r="J6" s="15"/>
      <c r="K6" s="64" t="s">
        <v>444</v>
      </c>
      <c r="M6" s="26" t="s">
        <v>393</v>
      </c>
      <c r="O6" s="329" t="s">
        <v>386</v>
      </c>
      <c r="Q6" s="291"/>
      <c r="R6" s="290">
        <v>45765</v>
      </c>
      <c r="S6" s="291" t="s">
        <v>395</v>
      </c>
      <c r="T6" s="291" t="s">
        <v>396</v>
      </c>
      <c r="U6" s="20"/>
      <c r="V6" t="s">
        <v>397</v>
      </c>
    </row>
    <row r="7" spans="1:28" x14ac:dyDescent="0.25">
      <c r="A7" t="s">
        <v>393</v>
      </c>
      <c r="B7" t="s">
        <v>393</v>
      </c>
      <c r="C7" t="s">
        <v>393</v>
      </c>
      <c r="E7" s="398" t="s">
        <v>559</v>
      </c>
      <c r="G7" s="398" t="s">
        <v>398</v>
      </c>
      <c r="I7" t="s">
        <v>679</v>
      </c>
      <c r="J7" s="15"/>
      <c r="K7" s="64" t="s">
        <v>456</v>
      </c>
      <c r="M7" s="26" t="s">
        <v>400</v>
      </c>
      <c r="O7" s="329" t="s">
        <v>394</v>
      </c>
      <c r="Q7" s="291"/>
      <c r="R7" s="290">
        <v>45768</v>
      </c>
      <c r="S7" s="291" t="s">
        <v>387</v>
      </c>
      <c r="T7" s="291" t="s">
        <v>401</v>
      </c>
      <c r="U7" s="20"/>
      <c r="V7" t="s">
        <v>402</v>
      </c>
      <c r="Z7" s="28" t="s">
        <v>1110</v>
      </c>
      <c r="AA7" t="s">
        <v>403</v>
      </c>
    </row>
    <row r="8" spans="1:28" x14ac:dyDescent="0.25">
      <c r="A8" t="s">
        <v>404</v>
      </c>
      <c r="B8" t="s">
        <v>404</v>
      </c>
      <c r="C8" t="s">
        <v>404</v>
      </c>
      <c r="E8" s="398" t="s">
        <v>564</v>
      </c>
      <c r="G8" s="398" t="s">
        <v>405</v>
      </c>
      <c r="I8" t="s">
        <v>512</v>
      </c>
      <c r="J8" s="15"/>
      <c r="K8" s="64" t="s">
        <v>470</v>
      </c>
      <c r="M8" s="26" t="s">
        <v>405</v>
      </c>
      <c r="O8" s="329" t="s">
        <v>399</v>
      </c>
      <c r="Q8" s="291"/>
      <c r="R8" s="290">
        <v>45782</v>
      </c>
      <c r="S8" s="291" t="s">
        <v>387</v>
      </c>
      <c r="T8" s="291" t="s">
        <v>406</v>
      </c>
      <c r="U8" s="20"/>
      <c r="V8" t="s">
        <v>407</v>
      </c>
      <c r="Z8" s="29">
        <v>1035</v>
      </c>
      <c r="AA8" s="30">
        <v>14</v>
      </c>
      <c r="AB8" t="s">
        <v>901</v>
      </c>
    </row>
    <row r="9" spans="1:28" x14ac:dyDescent="0.25">
      <c r="A9" t="s">
        <v>408</v>
      </c>
      <c r="B9" t="s">
        <v>408</v>
      </c>
      <c r="C9" t="s">
        <v>408</v>
      </c>
      <c r="E9" s="398" t="s">
        <v>410</v>
      </c>
      <c r="G9" s="398" t="s">
        <v>409</v>
      </c>
      <c r="J9" s="15"/>
      <c r="K9" s="64" t="s">
        <v>480</v>
      </c>
      <c r="M9" s="26" t="s">
        <v>409</v>
      </c>
      <c r="O9" s="329" t="s">
        <v>534</v>
      </c>
      <c r="Q9" s="291"/>
      <c r="R9" s="290">
        <v>45803</v>
      </c>
      <c r="S9" s="291" t="s">
        <v>387</v>
      </c>
      <c r="T9" s="291" t="s">
        <v>411</v>
      </c>
      <c r="U9" s="20"/>
      <c r="V9" t="s">
        <v>412</v>
      </c>
      <c r="Z9" s="29">
        <v>776</v>
      </c>
      <c r="AB9" t="s">
        <v>902</v>
      </c>
    </row>
    <row r="10" spans="1:28" x14ac:dyDescent="0.25">
      <c r="A10" t="s">
        <v>400</v>
      </c>
      <c r="B10" t="s">
        <v>400</v>
      </c>
      <c r="C10" t="s">
        <v>400</v>
      </c>
      <c r="E10" s="398" t="s">
        <v>414</v>
      </c>
      <c r="G10" s="398" t="s">
        <v>413</v>
      </c>
      <c r="J10" s="15"/>
      <c r="K10" s="64" t="s">
        <v>1066</v>
      </c>
      <c r="M10" s="26" t="s">
        <v>415</v>
      </c>
      <c r="O10" s="329" t="s">
        <v>559</v>
      </c>
      <c r="Q10" s="291"/>
      <c r="R10" s="290">
        <v>45894</v>
      </c>
      <c r="S10" s="291" t="s">
        <v>387</v>
      </c>
      <c r="T10" s="291" t="s">
        <v>416</v>
      </c>
      <c r="U10" s="20"/>
      <c r="V10" t="s">
        <v>417</v>
      </c>
      <c r="Z10" s="31" t="s">
        <v>418</v>
      </c>
      <c r="AA10" t="s">
        <v>403</v>
      </c>
    </row>
    <row r="11" spans="1:28" x14ac:dyDescent="0.25">
      <c r="A11" t="s">
        <v>419</v>
      </c>
      <c r="B11" t="s">
        <v>419</v>
      </c>
      <c r="C11" t="s">
        <v>419</v>
      </c>
      <c r="E11" s="398" t="s">
        <v>426</v>
      </c>
      <c r="G11" s="398" t="s">
        <v>420</v>
      </c>
      <c r="J11" s="15"/>
      <c r="K11" s="64" t="s">
        <v>534</v>
      </c>
      <c r="M11" s="26" t="s">
        <v>420</v>
      </c>
      <c r="O11" s="329" t="s">
        <v>564</v>
      </c>
      <c r="Q11" s="291"/>
      <c r="R11" s="290">
        <v>46016</v>
      </c>
      <c r="S11" s="291" t="s">
        <v>884</v>
      </c>
      <c r="T11" s="291" t="s">
        <v>422</v>
      </c>
      <c r="U11" s="20"/>
      <c r="V11" t="s">
        <v>423</v>
      </c>
      <c r="Z11" s="32">
        <v>480</v>
      </c>
      <c r="AA11" s="30">
        <v>7</v>
      </c>
      <c r="AB11" s="144" t="s">
        <v>1188</v>
      </c>
    </row>
    <row r="12" spans="1:28" x14ac:dyDescent="0.25">
      <c r="A12" t="s">
        <v>424</v>
      </c>
      <c r="B12" t="s">
        <v>424</v>
      </c>
      <c r="C12" t="s">
        <v>424</v>
      </c>
      <c r="E12" s="398" t="s">
        <v>432</v>
      </c>
      <c r="G12" s="398" t="s">
        <v>425</v>
      </c>
      <c r="J12" s="15"/>
      <c r="K12" s="64" t="s">
        <v>571</v>
      </c>
      <c r="M12" s="26" t="s">
        <v>427</v>
      </c>
      <c r="O12" s="329" t="s">
        <v>410</v>
      </c>
      <c r="Q12" s="292"/>
      <c r="R12" s="293">
        <v>46017</v>
      </c>
      <c r="S12" s="292" t="s">
        <v>395</v>
      </c>
      <c r="T12" s="292" t="s">
        <v>428</v>
      </c>
      <c r="U12" s="20"/>
      <c r="V12" t="s">
        <v>429</v>
      </c>
    </row>
    <row r="13" spans="1:28" x14ac:dyDescent="0.25">
      <c r="A13" t="s">
        <v>430</v>
      </c>
      <c r="B13" t="s">
        <v>430</v>
      </c>
      <c r="C13" t="s">
        <v>430</v>
      </c>
      <c r="E13" s="398" t="s">
        <v>435</v>
      </c>
      <c r="G13" s="398" t="s">
        <v>431</v>
      </c>
      <c r="J13" s="15"/>
      <c r="K13" s="64" t="s">
        <v>601</v>
      </c>
      <c r="M13" s="26" t="s">
        <v>433</v>
      </c>
      <c r="O13" s="329" t="s">
        <v>414</v>
      </c>
      <c r="Q13" s="289">
        <v>2026</v>
      </c>
      <c r="R13" s="290">
        <v>46023</v>
      </c>
      <c r="S13" s="208" t="s">
        <v>884</v>
      </c>
      <c r="T13" s="208" t="s">
        <v>388</v>
      </c>
      <c r="U13" s="20"/>
      <c r="Z13" s="33" t="s">
        <v>1064</v>
      </c>
    </row>
    <row r="14" spans="1:28" x14ac:dyDescent="0.25">
      <c r="A14" t="s">
        <v>398</v>
      </c>
      <c r="B14" t="s">
        <v>398</v>
      </c>
      <c r="C14" t="s">
        <v>398</v>
      </c>
      <c r="E14" s="398" t="s">
        <v>437</v>
      </c>
      <c r="G14" s="398" t="s">
        <v>434</v>
      </c>
      <c r="J14" s="15"/>
      <c r="K14" s="64" t="s">
        <v>536</v>
      </c>
      <c r="M14" s="26" t="s">
        <v>425</v>
      </c>
      <c r="O14" s="329" t="s">
        <v>421</v>
      </c>
      <c r="Q14" s="291"/>
      <c r="R14" s="290">
        <v>46115</v>
      </c>
      <c r="S14" s="208" t="s">
        <v>395</v>
      </c>
      <c r="T14" s="208" t="s">
        <v>396</v>
      </c>
      <c r="U14" s="20"/>
      <c r="Z14" s="419">
        <v>525</v>
      </c>
      <c r="AA14" s="144" t="s">
        <v>1149</v>
      </c>
    </row>
    <row r="15" spans="1:28" x14ac:dyDescent="0.25">
      <c r="A15" t="s">
        <v>405</v>
      </c>
      <c r="B15" t="s">
        <v>405</v>
      </c>
      <c r="C15" t="s">
        <v>405</v>
      </c>
      <c r="E15" s="398" t="s">
        <v>441</v>
      </c>
      <c r="G15" s="398" t="s">
        <v>436</v>
      </c>
      <c r="J15" s="15"/>
      <c r="K15" s="64" t="s">
        <v>622</v>
      </c>
      <c r="M15" s="26" t="s">
        <v>438</v>
      </c>
      <c r="O15" s="329" t="s">
        <v>426</v>
      </c>
      <c r="Q15" s="291"/>
      <c r="R15" s="290">
        <v>46118</v>
      </c>
      <c r="S15" s="208" t="s">
        <v>387</v>
      </c>
      <c r="T15" s="208" t="s">
        <v>401</v>
      </c>
      <c r="U15" s="20"/>
    </row>
    <row r="16" spans="1:28" x14ac:dyDescent="0.25">
      <c r="A16" t="s">
        <v>439</v>
      </c>
      <c r="B16" t="s">
        <v>439</v>
      </c>
      <c r="C16" t="s">
        <v>439</v>
      </c>
      <c r="E16" s="398" t="s">
        <v>446</v>
      </c>
      <c r="G16" s="398" t="s">
        <v>440</v>
      </c>
      <c r="J16" s="15"/>
      <c r="K16" s="64" t="s">
        <v>476</v>
      </c>
      <c r="M16" s="26" t="s">
        <v>442</v>
      </c>
      <c r="O16" s="329" t="s">
        <v>432</v>
      </c>
      <c r="Q16" s="291"/>
      <c r="R16" s="290">
        <v>46146</v>
      </c>
      <c r="S16" s="208" t="s">
        <v>387</v>
      </c>
      <c r="T16" s="208" t="s">
        <v>406</v>
      </c>
      <c r="U16" s="20"/>
      <c r="V16" s="17" t="s">
        <v>443</v>
      </c>
    </row>
    <row r="17" spans="1:28" x14ac:dyDescent="0.25">
      <c r="A17" t="s">
        <v>444</v>
      </c>
      <c r="B17" t="s">
        <v>444</v>
      </c>
      <c r="C17" t="s">
        <v>444</v>
      </c>
      <c r="E17" s="398" t="s">
        <v>449</v>
      </c>
      <c r="G17" s="398" t="s">
        <v>445</v>
      </c>
      <c r="J17" s="15"/>
      <c r="K17" s="64" t="s">
        <v>640</v>
      </c>
      <c r="M17" s="26" t="s">
        <v>447</v>
      </c>
      <c r="O17" s="329" t="s">
        <v>435</v>
      </c>
      <c r="Q17" s="291"/>
      <c r="R17" s="290">
        <v>46167</v>
      </c>
      <c r="S17" s="208" t="s">
        <v>387</v>
      </c>
      <c r="T17" s="208" t="s">
        <v>411</v>
      </c>
      <c r="U17" s="20"/>
      <c r="V17" s="19" t="s">
        <v>379</v>
      </c>
      <c r="Z17" s="17" t="s">
        <v>981</v>
      </c>
      <c r="AA17" s="41"/>
      <c r="AB17" s="41"/>
    </row>
    <row r="18" spans="1:28" x14ac:dyDescent="0.25">
      <c r="A18" t="s">
        <v>386</v>
      </c>
      <c r="B18" t="s">
        <v>386</v>
      </c>
      <c r="C18" t="s">
        <v>386</v>
      </c>
      <c r="E18" s="398" t="s">
        <v>453</v>
      </c>
      <c r="G18" s="398" t="s">
        <v>448</v>
      </c>
      <c r="J18" s="15"/>
      <c r="K18" s="64" t="s">
        <v>653</v>
      </c>
      <c r="M18" s="26" t="s">
        <v>450</v>
      </c>
      <c r="O18" s="329" t="s">
        <v>437</v>
      </c>
      <c r="Q18" s="291"/>
      <c r="R18" s="290">
        <v>46265</v>
      </c>
      <c r="S18" s="208" t="s">
        <v>387</v>
      </c>
      <c r="T18" s="208" t="s">
        <v>416</v>
      </c>
      <c r="U18" s="20"/>
      <c r="V18" t="s">
        <v>451</v>
      </c>
      <c r="Z18" s="315" t="s">
        <v>379</v>
      </c>
      <c r="AA18" s="267"/>
    </row>
    <row r="19" spans="1:28" x14ac:dyDescent="0.25">
      <c r="A19" t="s">
        <v>409</v>
      </c>
      <c r="B19" t="s">
        <v>409</v>
      </c>
      <c r="C19" t="s">
        <v>409</v>
      </c>
      <c r="E19" s="398" t="s">
        <v>458</v>
      </c>
      <c r="G19" s="398" t="s">
        <v>452</v>
      </c>
      <c r="J19" s="15"/>
      <c r="K19" t="s">
        <v>654</v>
      </c>
      <c r="M19" s="26" t="s">
        <v>454</v>
      </c>
      <c r="O19" s="329" t="s">
        <v>441</v>
      </c>
      <c r="Q19" s="291"/>
      <c r="R19" s="290">
        <v>46381</v>
      </c>
      <c r="S19" s="208" t="s">
        <v>395</v>
      </c>
      <c r="T19" s="208" t="s">
        <v>422</v>
      </c>
      <c r="U19" s="20"/>
      <c r="V19" t="s">
        <v>455</v>
      </c>
      <c r="Z19" s="267" t="s">
        <v>980</v>
      </c>
      <c r="AA19" s="267"/>
    </row>
    <row r="20" spans="1:28" x14ac:dyDescent="0.25">
      <c r="A20" t="s">
        <v>456</v>
      </c>
      <c r="B20" t="s">
        <v>456</v>
      </c>
      <c r="C20" t="s">
        <v>456</v>
      </c>
      <c r="E20" s="398" t="s">
        <v>472</v>
      </c>
      <c r="G20" s="398" t="s">
        <v>457</v>
      </c>
      <c r="J20" s="15"/>
      <c r="K20" t="s">
        <v>658</v>
      </c>
      <c r="M20" s="26" t="s">
        <v>459</v>
      </c>
      <c r="O20" s="329" t="s">
        <v>446</v>
      </c>
      <c r="Q20" s="294"/>
      <c r="R20" s="293">
        <v>46384</v>
      </c>
      <c r="S20" s="295" t="s">
        <v>387</v>
      </c>
      <c r="T20" s="295" t="s">
        <v>1146</v>
      </c>
      <c r="U20" s="20"/>
      <c r="V20" t="s">
        <v>461</v>
      </c>
      <c r="Z20" s="267" t="s">
        <v>975</v>
      </c>
      <c r="AA20" s="267"/>
    </row>
    <row r="21" spans="1:28" x14ac:dyDescent="0.25">
      <c r="A21" t="s">
        <v>413</v>
      </c>
      <c r="B21" t="s">
        <v>413</v>
      </c>
      <c r="C21" t="s">
        <v>413</v>
      </c>
      <c r="E21" s="398" t="s">
        <v>476</v>
      </c>
      <c r="G21" s="398" t="s">
        <v>462</v>
      </c>
      <c r="J21" s="15"/>
      <c r="K21" t="s">
        <v>676</v>
      </c>
      <c r="M21" s="26" t="s">
        <v>464</v>
      </c>
      <c r="O21" s="329" t="s">
        <v>449</v>
      </c>
      <c r="Q21" s="289">
        <v>2027</v>
      </c>
      <c r="R21" s="290">
        <v>46388</v>
      </c>
      <c r="S21" s="208" t="s">
        <v>395</v>
      </c>
      <c r="T21" s="208" t="s">
        <v>388</v>
      </c>
      <c r="U21" s="20"/>
      <c r="V21" t="s">
        <v>465</v>
      </c>
      <c r="Z21" s="267" t="s">
        <v>979</v>
      </c>
      <c r="AA21" s="267"/>
    </row>
    <row r="22" spans="1:28" x14ac:dyDescent="0.25">
      <c r="A22" t="s">
        <v>415</v>
      </c>
      <c r="B22" t="s">
        <v>415</v>
      </c>
      <c r="C22" t="s">
        <v>415</v>
      </c>
      <c r="E22" s="398" t="s">
        <v>479</v>
      </c>
      <c r="G22" s="398" t="s">
        <v>466</v>
      </c>
      <c r="J22" s="15"/>
      <c r="K22" s="65" t="s">
        <v>683</v>
      </c>
      <c r="M22" s="26" t="s">
        <v>468</v>
      </c>
      <c r="O22" s="329" t="s">
        <v>453</v>
      </c>
      <c r="Q22" s="291"/>
      <c r="R22" s="290">
        <v>46472</v>
      </c>
      <c r="S22" s="208" t="s">
        <v>395</v>
      </c>
      <c r="T22" s="208" t="s">
        <v>396</v>
      </c>
      <c r="U22" s="20"/>
      <c r="V22" t="s">
        <v>469</v>
      </c>
      <c r="Z22" s="267" t="s">
        <v>978</v>
      </c>
      <c r="AA22" s="267"/>
    </row>
    <row r="23" spans="1:28" x14ac:dyDescent="0.25">
      <c r="A23" t="s">
        <v>470</v>
      </c>
      <c r="B23" t="s">
        <v>470</v>
      </c>
      <c r="C23" t="s">
        <v>470</v>
      </c>
      <c r="E23" s="398" t="s">
        <v>910</v>
      </c>
      <c r="G23" s="398" t="s">
        <v>471</v>
      </c>
      <c r="J23" s="15"/>
      <c r="K23" s="25" t="s">
        <v>684</v>
      </c>
      <c r="M23" s="26" t="s">
        <v>473</v>
      </c>
      <c r="O23" s="329" t="s">
        <v>623</v>
      </c>
      <c r="Q23" s="291"/>
      <c r="R23" s="290">
        <v>46475</v>
      </c>
      <c r="S23" s="208" t="s">
        <v>387</v>
      </c>
      <c r="T23" s="208" t="s">
        <v>401</v>
      </c>
      <c r="U23" s="20"/>
      <c r="V23" s="34" t="s">
        <v>474</v>
      </c>
      <c r="Z23" s="267" t="s">
        <v>977</v>
      </c>
      <c r="AA23" s="267"/>
    </row>
    <row r="24" spans="1:28" x14ac:dyDescent="0.25">
      <c r="A24" t="s">
        <v>420</v>
      </c>
      <c r="B24" t="s">
        <v>420</v>
      </c>
      <c r="C24" t="s">
        <v>420</v>
      </c>
      <c r="E24" s="398" t="s">
        <v>482</v>
      </c>
      <c r="G24" s="398" t="s">
        <v>475</v>
      </c>
      <c r="J24" s="15"/>
      <c r="K24" s="15"/>
      <c r="M24" s="26" t="s">
        <v>477</v>
      </c>
      <c r="O24" s="329" t="s">
        <v>458</v>
      </c>
      <c r="Q24" s="291"/>
      <c r="R24" s="290">
        <v>46510</v>
      </c>
      <c r="S24" s="208" t="s">
        <v>387</v>
      </c>
      <c r="T24" s="208" t="s">
        <v>406</v>
      </c>
      <c r="U24" s="20"/>
      <c r="Z24" s="267" t="s">
        <v>976</v>
      </c>
      <c r="AA24" s="267"/>
    </row>
    <row r="25" spans="1:28" x14ac:dyDescent="0.25">
      <c r="A25" t="s">
        <v>394</v>
      </c>
      <c r="B25" t="s">
        <v>394</v>
      </c>
      <c r="C25" t="s">
        <v>394</v>
      </c>
      <c r="E25" s="398" t="s">
        <v>485</v>
      </c>
      <c r="G25" s="398" t="s">
        <v>478</v>
      </c>
      <c r="J25" s="15"/>
      <c r="K25" s="15"/>
      <c r="M25" s="26" t="s">
        <v>434</v>
      </c>
      <c r="O25" s="329" t="s">
        <v>463</v>
      </c>
      <c r="Q25" s="291"/>
      <c r="R25" s="290">
        <v>46538</v>
      </c>
      <c r="S25" s="208" t="s">
        <v>387</v>
      </c>
      <c r="T25" s="208" t="s">
        <v>411</v>
      </c>
      <c r="U25" s="20"/>
      <c r="Z25" s="267"/>
      <c r="AA25" s="267"/>
    </row>
    <row r="26" spans="1:28" x14ac:dyDescent="0.25">
      <c r="A26" t="s">
        <v>480</v>
      </c>
      <c r="B26" t="s">
        <v>480</v>
      </c>
      <c r="C26" t="s">
        <v>480</v>
      </c>
      <c r="E26" s="398" t="s">
        <v>489</v>
      </c>
      <c r="G26" s="398" t="s">
        <v>481</v>
      </c>
      <c r="J26" s="15"/>
      <c r="K26" s="15"/>
      <c r="M26" s="26" t="s">
        <v>483</v>
      </c>
      <c r="O26" s="329" t="s">
        <v>467</v>
      </c>
      <c r="Q26" s="291"/>
      <c r="R26" s="290">
        <v>46629</v>
      </c>
      <c r="S26" s="208" t="s">
        <v>387</v>
      </c>
      <c r="T26" s="208" t="s">
        <v>416</v>
      </c>
      <c r="U26" s="20"/>
      <c r="Z26" s="267"/>
      <c r="AA26" s="267"/>
    </row>
    <row r="27" spans="1:28" x14ac:dyDescent="0.25">
      <c r="A27" t="s">
        <v>427</v>
      </c>
      <c r="B27" t="s">
        <v>427</v>
      </c>
      <c r="C27" t="s">
        <v>427</v>
      </c>
      <c r="E27" s="398" t="s">
        <v>494</v>
      </c>
      <c r="G27" s="398" t="s">
        <v>484</v>
      </c>
      <c r="J27" s="15"/>
      <c r="K27" s="15"/>
      <c r="M27" s="26" t="s">
        <v>486</v>
      </c>
      <c r="O27" s="329" t="s">
        <v>472</v>
      </c>
      <c r="Q27" s="291"/>
      <c r="R27" s="290">
        <v>46748</v>
      </c>
      <c r="S27" s="208" t="s">
        <v>387</v>
      </c>
      <c r="T27" s="208" t="s">
        <v>1147</v>
      </c>
      <c r="U27" s="20"/>
      <c r="Z27" s="267"/>
      <c r="AA27" s="267"/>
    </row>
    <row r="28" spans="1:28" x14ac:dyDescent="0.25">
      <c r="A28" t="s">
        <v>487</v>
      </c>
      <c r="B28" t="s">
        <v>487</v>
      </c>
      <c r="C28" t="s">
        <v>487</v>
      </c>
      <c r="E28" s="398" t="s">
        <v>502</v>
      </c>
      <c r="G28" s="398" t="s">
        <v>488</v>
      </c>
      <c r="J28" s="15"/>
      <c r="K28" s="15"/>
      <c r="M28" s="26" t="s">
        <v>490</v>
      </c>
      <c r="O28" s="329" t="s">
        <v>476</v>
      </c>
      <c r="Q28" s="294"/>
      <c r="R28" s="293">
        <v>46749</v>
      </c>
      <c r="S28" s="295" t="s">
        <v>1148</v>
      </c>
      <c r="T28" s="295" t="s">
        <v>1146</v>
      </c>
      <c r="U28" s="20"/>
      <c r="V28" s="24" t="s">
        <v>885</v>
      </c>
      <c r="Z28" s="267"/>
      <c r="AA28" s="267"/>
    </row>
    <row r="29" spans="1:28" x14ac:dyDescent="0.25">
      <c r="A29" t="s">
        <v>433</v>
      </c>
      <c r="B29" t="s">
        <v>433</v>
      </c>
      <c r="C29" t="s">
        <v>433</v>
      </c>
      <c r="E29" s="398" t="s">
        <v>505</v>
      </c>
      <c r="G29" s="398" t="s">
        <v>491</v>
      </c>
      <c r="J29" s="15"/>
      <c r="K29" s="15"/>
      <c r="M29" s="26" t="s">
        <v>493</v>
      </c>
      <c r="O29" s="329" t="s">
        <v>479</v>
      </c>
      <c r="U29" s="20"/>
      <c r="V29" s="175">
        <v>1270</v>
      </c>
      <c r="W29" t="s">
        <v>886</v>
      </c>
      <c r="Z29" s="267"/>
      <c r="AA29" s="267"/>
    </row>
    <row r="30" spans="1:28" x14ac:dyDescent="0.25">
      <c r="A30" t="s">
        <v>425</v>
      </c>
      <c r="B30" t="s">
        <v>425</v>
      </c>
      <c r="C30" t="s">
        <v>425</v>
      </c>
      <c r="E30" s="398" t="s">
        <v>529</v>
      </c>
      <c r="G30" s="398" t="s">
        <v>493</v>
      </c>
      <c r="J30" s="15"/>
      <c r="K30" s="15"/>
      <c r="M30" s="26" t="s">
        <v>495</v>
      </c>
      <c r="O30" s="329" t="s">
        <v>640</v>
      </c>
      <c r="U30" s="20"/>
      <c r="V30" s="175">
        <v>285</v>
      </c>
      <c r="W30" t="s">
        <v>907</v>
      </c>
      <c r="Z30" s="267"/>
      <c r="AA30" s="267"/>
    </row>
    <row r="31" spans="1:28" x14ac:dyDescent="0.25">
      <c r="A31" t="s">
        <v>496</v>
      </c>
      <c r="B31" t="s">
        <v>496</v>
      </c>
      <c r="C31" t="s">
        <v>496</v>
      </c>
      <c r="G31" s="398" t="s">
        <v>497</v>
      </c>
      <c r="J31" s="15"/>
      <c r="K31" s="15"/>
      <c r="M31" s="26" t="s">
        <v>499</v>
      </c>
      <c r="O31" s="329" t="s">
        <v>482</v>
      </c>
      <c r="U31" s="20"/>
      <c r="V31" s="175">
        <v>315</v>
      </c>
      <c r="W31" t="s">
        <v>908</v>
      </c>
    </row>
    <row r="32" spans="1:28" x14ac:dyDescent="0.25">
      <c r="A32" t="s">
        <v>500</v>
      </c>
      <c r="B32" t="s">
        <v>500</v>
      </c>
      <c r="C32" t="s">
        <v>500</v>
      </c>
      <c r="G32" s="398" t="s">
        <v>501</v>
      </c>
      <c r="J32" s="15"/>
      <c r="K32" s="15"/>
      <c r="M32" s="26" t="s">
        <v>503</v>
      </c>
      <c r="O32" s="329" t="s">
        <v>485</v>
      </c>
      <c r="U32" s="20"/>
      <c r="V32" s="175">
        <v>200</v>
      </c>
      <c r="W32" t="s">
        <v>909</v>
      </c>
    </row>
    <row r="33" spans="1:21" x14ac:dyDescent="0.25">
      <c r="A33" t="s">
        <v>438</v>
      </c>
      <c r="B33" t="s">
        <v>438</v>
      </c>
      <c r="C33" t="s">
        <v>438</v>
      </c>
      <c r="G33" s="398" t="s">
        <v>504</v>
      </c>
      <c r="J33" s="15"/>
      <c r="K33" s="15"/>
      <c r="M33" s="26" t="s">
        <v>506</v>
      </c>
      <c r="O33" s="329" t="s">
        <v>489</v>
      </c>
      <c r="U33" s="20"/>
    </row>
    <row r="34" spans="1:21" x14ac:dyDescent="0.25">
      <c r="A34" t="s">
        <v>507</v>
      </c>
      <c r="B34" t="s">
        <v>507</v>
      </c>
      <c r="C34" t="s">
        <v>507</v>
      </c>
      <c r="G34" s="398" t="s">
        <v>508</v>
      </c>
      <c r="J34" s="15"/>
      <c r="K34" s="15"/>
      <c r="M34" s="26" t="s">
        <v>510</v>
      </c>
      <c r="O34" s="329" t="s">
        <v>492</v>
      </c>
      <c r="U34" s="20"/>
    </row>
    <row r="35" spans="1:21" x14ac:dyDescent="0.25">
      <c r="A35" t="s">
        <v>431</v>
      </c>
      <c r="B35" t="s">
        <v>431</v>
      </c>
      <c r="C35" t="s">
        <v>431</v>
      </c>
      <c r="G35" s="398" t="s">
        <v>511</v>
      </c>
      <c r="J35" s="15"/>
      <c r="K35" s="15"/>
      <c r="M35" s="26" t="s">
        <v>513</v>
      </c>
      <c r="O35" s="329" t="s">
        <v>663</v>
      </c>
      <c r="U35" s="20"/>
    </row>
    <row r="36" spans="1:21" x14ac:dyDescent="0.25">
      <c r="A36" t="s">
        <v>514</v>
      </c>
      <c r="B36" t="s">
        <v>515</v>
      </c>
      <c r="C36" t="s">
        <v>515</v>
      </c>
      <c r="G36" s="398" t="s">
        <v>516</v>
      </c>
      <c r="J36" s="15"/>
      <c r="K36" s="15"/>
      <c r="M36" s="26" t="s">
        <v>517</v>
      </c>
      <c r="O36" s="329" t="s">
        <v>494</v>
      </c>
      <c r="U36" s="20"/>
    </row>
    <row r="37" spans="1:21" x14ac:dyDescent="0.25">
      <c r="A37" t="s">
        <v>515</v>
      </c>
      <c r="B37" t="s">
        <v>442</v>
      </c>
      <c r="C37" t="s">
        <v>442</v>
      </c>
      <c r="G37" s="398" t="s">
        <v>518</v>
      </c>
      <c r="J37" s="15"/>
      <c r="K37" s="15"/>
      <c r="M37" s="26" t="s">
        <v>519</v>
      </c>
      <c r="O37" s="329" t="s">
        <v>498</v>
      </c>
      <c r="U37" s="20"/>
    </row>
    <row r="38" spans="1:21" x14ac:dyDescent="0.25">
      <c r="A38" t="s">
        <v>520</v>
      </c>
      <c r="B38" t="s">
        <v>399</v>
      </c>
      <c r="C38" t="s">
        <v>399</v>
      </c>
      <c r="G38" s="398" t="s">
        <v>521</v>
      </c>
      <c r="J38" s="15"/>
      <c r="K38" s="15"/>
      <c r="M38" s="26" t="s">
        <v>448</v>
      </c>
      <c r="O38" s="329" t="s">
        <v>667</v>
      </c>
      <c r="U38" s="20"/>
    </row>
    <row r="39" spans="1:21" x14ac:dyDescent="0.25">
      <c r="A39" t="s">
        <v>522</v>
      </c>
      <c r="B39" t="s">
        <v>447</v>
      </c>
      <c r="C39" t="s">
        <v>447</v>
      </c>
      <c r="G39" s="398" t="s">
        <v>523</v>
      </c>
      <c r="J39" s="35"/>
      <c r="K39" s="35"/>
      <c r="M39" s="26" t="s">
        <v>524</v>
      </c>
      <c r="O39" s="329" t="s">
        <v>502</v>
      </c>
      <c r="U39" s="20"/>
    </row>
    <row r="40" spans="1:21" ht="15" customHeight="1" x14ac:dyDescent="0.25">
      <c r="A40" t="s">
        <v>525</v>
      </c>
      <c r="B40" t="s">
        <v>454</v>
      </c>
      <c r="C40" t="s">
        <v>454</v>
      </c>
      <c r="G40" s="398" t="s">
        <v>526</v>
      </c>
      <c r="J40" s="199"/>
      <c r="K40" s="199"/>
      <c r="M40" s="26" t="s">
        <v>527</v>
      </c>
      <c r="O40" s="329" t="s">
        <v>505</v>
      </c>
      <c r="U40" s="20"/>
    </row>
    <row r="41" spans="1:21" x14ac:dyDescent="0.25">
      <c r="A41" t="s">
        <v>528</v>
      </c>
      <c r="B41" t="s">
        <v>459</v>
      </c>
      <c r="C41" t="s">
        <v>459</v>
      </c>
      <c r="G41" s="398" t="s">
        <v>529</v>
      </c>
      <c r="J41" s="199"/>
      <c r="K41" s="199"/>
      <c r="M41" s="26" t="s">
        <v>530</v>
      </c>
      <c r="O41" s="329" t="s">
        <v>509</v>
      </c>
      <c r="U41" s="20"/>
    </row>
    <row r="42" spans="1:21" ht="15" customHeight="1" x14ac:dyDescent="0.25">
      <c r="A42" t="s">
        <v>531</v>
      </c>
      <c r="B42" t="s">
        <v>477</v>
      </c>
      <c r="C42" t="s">
        <v>477</v>
      </c>
      <c r="G42" s="398" t="s">
        <v>532</v>
      </c>
      <c r="J42" s="199"/>
      <c r="K42" s="199"/>
      <c r="M42" s="26" t="s">
        <v>533</v>
      </c>
      <c r="O42" s="329" t="s">
        <v>684</v>
      </c>
      <c r="U42" s="20"/>
    </row>
    <row r="43" spans="1:21" x14ac:dyDescent="0.25">
      <c r="A43" s="36" t="s">
        <v>442</v>
      </c>
      <c r="B43" t="s">
        <v>534</v>
      </c>
      <c r="C43" t="s">
        <v>534</v>
      </c>
      <c r="G43" s="398" t="s">
        <v>535</v>
      </c>
      <c r="J43" s="199"/>
      <c r="K43" s="199"/>
      <c r="M43" s="26" t="s">
        <v>536</v>
      </c>
      <c r="O43" s="329" t="s">
        <v>683</v>
      </c>
      <c r="U43" s="20"/>
    </row>
    <row r="44" spans="1:21" x14ac:dyDescent="0.25">
      <c r="A44" t="s">
        <v>399</v>
      </c>
      <c r="B44" t="s">
        <v>464</v>
      </c>
      <c r="C44" t="s">
        <v>464</v>
      </c>
      <c r="G44" s="398" t="s">
        <v>537</v>
      </c>
      <c r="J44" s="199"/>
      <c r="K44" s="199"/>
      <c r="M44" s="26" t="s">
        <v>538</v>
      </c>
      <c r="U44" s="20"/>
    </row>
    <row r="45" spans="1:21" x14ac:dyDescent="0.25">
      <c r="A45" t="s">
        <v>447</v>
      </c>
      <c r="B45" t="s">
        <v>539</v>
      </c>
      <c r="C45" t="s">
        <v>539</v>
      </c>
      <c r="G45" s="398" t="s">
        <v>540</v>
      </c>
      <c r="J45" s="199"/>
      <c r="K45" s="199"/>
      <c r="M45" s="26" t="s">
        <v>541</v>
      </c>
      <c r="U45" s="20"/>
    </row>
    <row r="46" spans="1:21" x14ac:dyDescent="0.25">
      <c r="A46" t="s">
        <v>454</v>
      </c>
      <c r="B46" t="s">
        <v>468</v>
      </c>
      <c r="C46" t="s">
        <v>468</v>
      </c>
      <c r="G46" s="398" t="s">
        <v>542</v>
      </c>
      <c r="J46" s="199"/>
      <c r="K46" s="199"/>
      <c r="M46" s="26" t="s">
        <v>543</v>
      </c>
      <c r="U46" s="20"/>
    </row>
    <row r="47" spans="1:21" x14ac:dyDescent="0.25">
      <c r="A47" t="s">
        <v>459</v>
      </c>
      <c r="B47" t="s">
        <v>473</v>
      </c>
      <c r="C47" t="s">
        <v>473</v>
      </c>
      <c r="J47" s="37"/>
      <c r="K47" s="37"/>
      <c r="M47" s="26" t="s">
        <v>544</v>
      </c>
      <c r="U47" s="20"/>
    </row>
    <row r="48" spans="1:21" x14ac:dyDescent="0.25">
      <c r="A48" t="s">
        <v>477</v>
      </c>
      <c r="B48" t="s">
        <v>545</v>
      </c>
      <c r="C48" t="s">
        <v>545</v>
      </c>
      <c r="J48" s="37"/>
      <c r="K48" s="37"/>
      <c r="M48" s="26" t="s">
        <v>457</v>
      </c>
      <c r="U48" s="20"/>
    </row>
    <row r="49" spans="1:21" x14ac:dyDescent="0.25">
      <c r="A49" t="s">
        <v>534</v>
      </c>
      <c r="B49" t="s">
        <v>434</v>
      </c>
      <c r="C49" t="s">
        <v>434</v>
      </c>
      <c r="J49" s="37"/>
      <c r="K49" s="37"/>
      <c r="M49" s="26" t="s">
        <v>471</v>
      </c>
      <c r="U49" s="20"/>
    </row>
    <row r="50" spans="1:21" x14ac:dyDescent="0.25">
      <c r="A50" t="s">
        <v>464</v>
      </c>
      <c r="B50" t="s">
        <v>546</v>
      </c>
      <c r="C50" t="s">
        <v>546</v>
      </c>
      <c r="M50" s="26" t="s">
        <v>547</v>
      </c>
      <c r="U50" s="20"/>
    </row>
    <row r="51" spans="1:21" x14ac:dyDescent="0.25">
      <c r="A51" t="s">
        <v>539</v>
      </c>
      <c r="B51" t="s">
        <v>548</v>
      </c>
      <c r="C51" t="s">
        <v>548</v>
      </c>
      <c r="M51" s="26" t="s">
        <v>549</v>
      </c>
      <c r="U51" s="20"/>
    </row>
    <row r="52" spans="1:21" x14ac:dyDescent="0.25">
      <c r="A52" t="s">
        <v>468</v>
      </c>
      <c r="B52" t="s">
        <v>436</v>
      </c>
      <c r="C52" t="s">
        <v>436</v>
      </c>
      <c r="M52" s="26" t="s">
        <v>550</v>
      </c>
      <c r="U52" s="20"/>
    </row>
    <row r="53" spans="1:21" x14ac:dyDescent="0.25">
      <c r="A53" t="s">
        <v>473</v>
      </c>
      <c r="B53" t="s">
        <v>551</v>
      </c>
      <c r="C53" t="s">
        <v>551</v>
      </c>
      <c r="M53" s="26" t="s">
        <v>478</v>
      </c>
      <c r="U53" s="20"/>
    </row>
    <row r="54" spans="1:21" x14ac:dyDescent="0.25">
      <c r="A54" t="s">
        <v>545</v>
      </c>
      <c r="B54" t="s">
        <v>483</v>
      </c>
      <c r="C54" t="s">
        <v>483</v>
      </c>
      <c r="M54" s="26" t="s">
        <v>552</v>
      </c>
      <c r="U54" s="20"/>
    </row>
    <row r="55" spans="1:21" x14ac:dyDescent="0.25">
      <c r="A55" t="s">
        <v>434</v>
      </c>
      <c r="B55" t="s">
        <v>553</v>
      </c>
      <c r="C55" t="s">
        <v>553</v>
      </c>
      <c r="M55" s="26" t="s">
        <v>554</v>
      </c>
      <c r="U55" s="20"/>
    </row>
    <row r="56" spans="1:21" x14ac:dyDescent="0.25">
      <c r="A56" t="s">
        <v>546</v>
      </c>
      <c r="B56" t="s">
        <v>555</v>
      </c>
      <c r="C56" t="s">
        <v>555</v>
      </c>
      <c r="M56" s="26" t="s">
        <v>556</v>
      </c>
      <c r="U56" s="20"/>
    </row>
    <row r="57" spans="1:21" x14ac:dyDescent="0.25">
      <c r="A57" t="s">
        <v>548</v>
      </c>
      <c r="B57" t="s">
        <v>557</v>
      </c>
      <c r="C57" t="s">
        <v>557</v>
      </c>
      <c r="M57" s="26" t="s">
        <v>558</v>
      </c>
      <c r="U57" s="20"/>
    </row>
    <row r="58" spans="1:21" x14ac:dyDescent="0.25">
      <c r="A58" t="s">
        <v>436</v>
      </c>
      <c r="B58" t="s">
        <v>559</v>
      </c>
      <c r="C58" t="s">
        <v>559</v>
      </c>
      <c r="M58" s="26" t="s">
        <v>560</v>
      </c>
      <c r="U58" s="20"/>
    </row>
    <row r="59" spans="1:21" x14ac:dyDescent="0.25">
      <c r="A59" t="s">
        <v>551</v>
      </c>
      <c r="B59" t="s">
        <v>440</v>
      </c>
      <c r="C59" t="s">
        <v>440</v>
      </c>
      <c r="M59" s="26" t="s">
        <v>561</v>
      </c>
      <c r="U59" s="20"/>
    </row>
    <row r="60" spans="1:21" x14ac:dyDescent="0.25">
      <c r="A60" t="s">
        <v>483</v>
      </c>
      <c r="B60" t="s">
        <v>562</v>
      </c>
      <c r="C60" t="s">
        <v>562</v>
      </c>
      <c r="M60" s="26" t="s">
        <v>563</v>
      </c>
      <c r="U60" s="20"/>
    </row>
    <row r="61" spans="1:21" x14ac:dyDescent="0.25">
      <c r="A61" t="s">
        <v>553</v>
      </c>
      <c r="B61" t="s">
        <v>564</v>
      </c>
      <c r="C61" t="s">
        <v>564</v>
      </c>
      <c r="M61" s="26" t="s">
        <v>565</v>
      </c>
      <c r="U61" s="20"/>
    </row>
    <row r="62" spans="1:21" x14ac:dyDescent="0.25">
      <c r="A62" t="s">
        <v>555</v>
      </c>
      <c r="B62" t="s">
        <v>410</v>
      </c>
      <c r="C62" t="s">
        <v>410</v>
      </c>
      <c r="M62" s="26" t="s">
        <v>566</v>
      </c>
      <c r="U62" s="20"/>
    </row>
    <row r="63" spans="1:21" x14ac:dyDescent="0.25">
      <c r="A63" s="38" t="s">
        <v>557</v>
      </c>
      <c r="B63" t="s">
        <v>493</v>
      </c>
      <c r="C63" t="s">
        <v>493</v>
      </c>
      <c r="M63" s="26" t="s">
        <v>567</v>
      </c>
      <c r="U63" s="20"/>
    </row>
    <row r="64" spans="1:21" x14ac:dyDescent="0.25">
      <c r="A64" t="s">
        <v>559</v>
      </c>
      <c r="B64" t="s">
        <v>568</v>
      </c>
      <c r="C64" t="s">
        <v>568</v>
      </c>
      <c r="M64" s="26" t="s">
        <v>569</v>
      </c>
      <c r="U64" s="20"/>
    </row>
    <row r="65" spans="1:21" x14ac:dyDescent="0.25">
      <c r="A65" t="s">
        <v>440</v>
      </c>
      <c r="B65" t="s">
        <v>414</v>
      </c>
      <c r="C65" t="s">
        <v>414</v>
      </c>
      <c r="M65" s="26" t="s">
        <v>570</v>
      </c>
      <c r="U65" s="20"/>
    </row>
    <row r="66" spans="1:21" x14ac:dyDescent="0.25">
      <c r="A66" t="s">
        <v>562</v>
      </c>
      <c r="B66" t="s">
        <v>495</v>
      </c>
      <c r="C66" t="s">
        <v>495</v>
      </c>
      <c r="M66" s="26" t="s">
        <v>491</v>
      </c>
      <c r="U66" s="20"/>
    </row>
    <row r="67" spans="1:21" x14ac:dyDescent="0.25">
      <c r="A67" t="s">
        <v>564</v>
      </c>
      <c r="B67" t="s">
        <v>571</v>
      </c>
      <c r="C67" t="s">
        <v>571</v>
      </c>
      <c r="M67" s="26" t="s">
        <v>572</v>
      </c>
      <c r="U67" s="20"/>
    </row>
    <row r="68" spans="1:21" x14ac:dyDescent="0.25">
      <c r="A68" t="s">
        <v>410</v>
      </c>
      <c r="B68" t="s">
        <v>499</v>
      </c>
      <c r="C68" t="s">
        <v>499</v>
      </c>
      <c r="M68" s="26" t="s">
        <v>573</v>
      </c>
      <c r="U68" s="20"/>
    </row>
    <row r="69" spans="1:21" x14ac:dyDescent="0.25">
      <c r="A69" t="s">
        <v>493</v>
      </c>
      <c r="B69" t="s">
        <v>503</v>
      </c>
      <c r="C69" t="s">
        <v>503</v>
      </c>
      <c r="M69" s="26" t="s">
        <v>574</v>
      </c>
      <c r="U69" s="20"/>
    </row>
    <row r="70" spans="1:21" x14ac:dyDescent="0.25">
      <c r="A70" t="s">
        <v>568</v>
      </c>
      <c r="B70" t="s">
        <v>445</v>
      </c>
      <c r="C70" t="s">
        <v>445</v>
      </c>
      <c r="M70" s="26" t="s">
        <v>575</v>
      </c>
      <c r="U70" s="20"/>
    </row>
    <row r="71" spans="1:21" x14ac:dyDescent="0.25">
      <c r="A71" t="s">
        <v>414</v>
      </c>
      <c r="B71" t="s">
        <v>576</v>
      </c>
      <c r="C71" t="s">
        <v>576</v>
      </c>
      <c r="M71" s="26" t="s">
        <v>577</v>
      </c>
      <c r="U71" s="20"/>
    </row>
    <row r="72" spans="1:21" x14ac:dyDescent="0.25">
      <c r="A72" t="s">
        <v>495</v>
      </c>
      <c r="B72" t="s">
        <v>506</v>
      </c>
      <c r="C72" t="s">
        <v>506</v>
      </c>
      <c r="M72" s="26" t="s">
        <v>578</v>
      </c>
      <c r="U72" s="20"/>
    </row>
    <row r="73" spans="1:21" x14ac:dyDescent="0.25">
      <c r="A73" t="s">
        <v>571</v>
      </c>
      <c r="B73" t="s">
        <v>510</v>
      </c>
      <c r="C73" t="s">
        <v>510</v>
      </c>
      <c r="M73" s="26" t="s">
        <v>579</v>
      </c>
      <c r="U73" s="20"/>
    </row>
    <row r="74" spans="1:21" x14ac:dyDescent="0.25">
      <c r="A74" t="s">
        <v>499</v>
      </c>
      <c r="B74" t="s">
        <v>421</v>
      </c>
      <c r="C74" t="s">
        <v>421</v>
      </c>
      <c r="M74" s="26" t="s">
        <v>580</v>
      </c>
      <c r="U74" s="20"/>
    </row>
    <row r="75" spans="1:21" x14ac:dyDescent="0.25">
      <c r="A75" t="s">
        <v>503</v>
      </c>
      <c r="B75" t="s">
        <v>513</v>
      </c>
      <c r="C75" t="s">
        <v>513</v>
      </c>
      <c r="M75" s="26" t="s">
        <v>581</v>
      </c>
      <c r="U75" s="20"/>
    </row>
    <row r="76" spans="1:21" x14ac:dyDescent="0.25">
      <c r="A76" t="s">
        <v>445</v>
      </c>
      <c r="B76" t="s">
        <v>582</v>
      </c>
      <c r="C76" t="s">
        <v>582</v>
      </c>
      <c r="M76" s="26" t="s">
        <v>583</v>
      </c>
      <c r="U76" s="20"/>
    </row>
    <row r="77" spans="1:21" x14ac:dyDescent="0.25">
      <c r="A77" t="s">
        <v>576</v>
      </c>
      <c r="B77" t="s">
        <v>584</v>
      </c>
      <c r="C77" t="s">
        <v>584</v>
      </c>
      <c r="M77" s="26" t="s">
        <v>504</v>
      </c>
      <c r="U77" s="20"/>
    </row>
    <row r="78" spans="1:21" x14ac:dyDescent="0.25">
      <c r="A78" t="s">
        <v>506</v>
      </c>
      <c r="B78" t="s">
        <v>585</v>
      </c>
      <c r="C78" t="s">
        <v>585</v>
      </c>
      <c r="M78" s="26" t="s">
        <v>586</v>
      </c>
      <c r="U78" s="20"/>
    </row>
    <row r="79" spans="1:21" x14ac:dyDescent="0.25">
      <c r="A79" t="s">
        <v>510</v>
      </c>
      <c r="B79" t="s">
        <v>426</v>
      </c>
      <c r="C79" t="s">
        <v>426</v>
      </c>
      <c r="M79" s="26" t="s">
        <v>511</v>
      </c>
      <c r="U79" s="20"/>
    </row>
    <row r="80" spans="1:21" x14ac:dyDescent="0.25">
      <c r="A80" t="s">
        <v>421</v>
      </c>
      <c r="B80" t="s">
        <v>432</v>
      </c>
      <c r="C80" t="s">
        <v>432</v>
      </c>
      <c r="M80" s="26" t="s">
        <v>587</v>
      </c>
      <c r="U80" s="20"/>
    </row>
    <row r="81" spans="1:21" x14ac:dyDescent="0.25">
      <c r="A81" t="s">
        <v>513</v>
      </c>
      <c r="B81" t="s">
        <v>588</v>
      </c>
      <c r="C81" t="s">
        <v>588</v>
      </c>
      <c r="M81" s="26" t="s">
        <v>589</v>
      </c>
      <c r="U81" s="20"/>
    </row>
    <row r="82" spans="1:21" x14ac:dyDescent="0.25">
      <c r="A82" t="s">
        <v>582</v>
      </c>
      <c r="B82" t="s">
        <v>590</v>
      </c>
      <c r="C82" t="s">
        <v>590</v>
      </c>
      <c r="M82" s="26" t="s">
        <v>591</v>
      </c>
      <c r="U82" s="20"/>
    </row>
    <row r="83" spans="1:21" x14ac:dyDescent="0.25">
      <c r="A83" t="s">
        <v>584</v>
      </c>
      <c r="B83" t="s">
        <v>517</v>
      </c>
      <c r="C83" t="s">
        <v>517</v>
      </c>
      <c r="M83" s="26" t="s">
        <v>592</v>
      </c>
      <c r="U83" s="20"/>
    </row>
    <row r="84" spans="1:21" x14ac:dyDescent="0.25">
      <c r="A84" t="s">
        <v>585</v>
      </c>
      <c r="B84" t="s">
        <v>519</v>
      </c>
      <c r="C84" t="s">
        <v>519</v>
      </c>
      <c r="M84" s="26" t="s">
        <v>593</v>
      </c>
      <c r="U84" s="20"/>
    </row>
    <row r="85" spans="1:21" x14ac:dyDescent="0.25">
      <c r="A85" t="s">
        <v>426</v>
      </c>
      <c r="B85" t="s">
        <v>448</v>
      </c>
      <c r="C85" t="s">
        <v>448</v>
      </c>
      <c r="M85" s="26" t="s">
        <v>594</v>
      </c>
      <c r="U85" s="20"/>
    </row>
    <row r="86" spans="1:21" x14ac:dyDescent="0.25">
      <c r="A86" t="s">
        <v>432</v>
      </c>
      <c r="B86" t="s">
        <v>435</v>
      </c>
      <c r="C86" t="s">
        <v>435</v>
      </c>
      <c r="M86" s="26" t="s">
        <v>595</v>
      </c>
      <c r="U86" s="20"/>
    </row>
    <row r="87" spans="1:21" x14ac:dyDescent="0.25">
      <c r="A87" t="s">
        <v>588</v>
      </c>
      <c r="B87" t="s">
        <v>524</v>
      </c>
      <c r="C87" t="s">
        <v>524</v>
      </c>
      <c r="M87" s="26" t="s">
        <v>596</v>
      </c>
      <c r="U87" s="20"/>
    </row>
    <row r="88" spans="1:21" x14ac:dyDescent="0.25">
      <c r="A88" t="s">
        <v>590</v>
      </c>
      <c r="B88" t="s">
        <v>597</v>
      </c>
      <c r="C88" t="s">
        <v>597</v>
      </c>
      <c r="M88" s="26" t="s">
        <v>598</v>
      </c>
      <c r="U88" s="20"/>
    </row>
    <row r="89" spans="1:21" x14ac:dyDescent="0.25">
      <c r="A89" t="s">
        <v>517</v>
      </c>
      <c r="B89" t="s">
        <v>437</v>
      </c>
      <c r="C89" t="s">
        <v>437</v>
      </c>
      <c r="M89" s="26" t="s">
        <v>518</v>
      </c>
      <c r="U89" s="20"/>
    </row>
    <row r="90" spans="1:21" x14ac:dyDescent="0.25">
      <c r="A90" t="s">
        <v>519</v>
      </c>
      <c r="B90" t="s">
        <v>599</v>
      </c>
      <c r="C90" t="s">
        <v>599</v>
      </c>
      <c r="M90" s="26" t="s">
        <v>600</v>
      </c>
      <c r="U90" s="20"/>
    </row>
    <row r="91" spans="1:21" x14ac:dyDescent="0.25">
      <c r="A91" t="s">
        <v>448</v>
      </c>
      <c r="B91" t="s">
        <v>601</v>
      </c>
      <c r="C91" t="s">
        <v>601</v>
      </c>
      <c r="M91" s="26" t="s">
        <v>602</v>
      </c>
      <c r="U91" s="20"/>
    </row>
    <row r="92" spans="1:21" x14ac:dyDescent="0.25">
      <c r="A92" t="s">
        <v>435</v>
      </c>
      <c r="B92" t="s">
        <v>603</v>
      </c>
      <c r="C92" t="s">
        <v>603</v>
      </c>
      <c r="M92" s="26" t="s">
        <v>523</v>
      </c>
      <c r="U92" s="20"/>
    </row>
    <row r="93" spans="1:21" x14ac:dyDescent="0.25">
      <c r="A93" t="s">
        <v>524</v>
      </c>
      <c r="B93" t="s">
        <v>604</v>
      </c>
      <c r="C93" t="s">
        <v>604</v>
      </c>
      <c r="M93" s="26" t="s">
        <v>605</v>
      </c>
      <c r="U93" s="20"/>
    </row>
    <row r="94" spans="1:21" x14ac:dyDescent="0.25">
      <c r="A94" t="s">
        <v>597</v>
      </c>
      <c r="B94" t="s">
        <v>527</v>
      </c>
      <c r="C94" t="s">
        <v>527</v>
      </c>
      <c r="M94" s="26" t="s">
        <v>606</v>
      </c>
      <c r="U94" s="20"/>
    </row>
    <row r="95" spans="1:21" x14ac:dyDescent="0.25">
      <c r="A95" t="s">
        <v>437</v>
      </c>
      <c r="B95" t="s">
        <v>607</v>
      </c>
      <c r="C95" t="s">
        <v>607</v>
      </c>
      <c r="M95" s="26" t="s">
        <v>608</v>
      </c>
      <c r="U95" s="20"/>
    </row>
    <row r="96" spans="1:21" x14ac:dyDescent="0.25">
      <c r="A96" t="s">
        <v>599</v>
      </c>
      <c r="B96" t="s">
        <v>530</v>
      </c>
      <c r="C96" t="s">
        <v>530</v>
      </c>
      <c r="M96" s="26" t="s">
        <v>609</v>
      </c>
      <c r="U96" s="20"/>
    </row>
    <row r="97" spans="1:21" x14ac:dyDescent="0.25">
      <c r="A97" t="s">
        <v>601</v>
      </c>
      <c r="B97" t="s">
        <v>610</v>
      </c>
      <c r="C97" t="s">
        <v>610</v>
      </c>
      <c r="M97" s="26" t="s">
        <v>532</v>
      </c>
      <c r="U97" s="20"/>
    </row>
    <row r="98" spans="1:21" x14ac:dyDescent="0.25">
      <c r="A98" t="s">
        <v>603</v>
      </c>
      <c r="B98" t="s">
        <v>536</v>
      </c>
      <c r="C98" t="s">
        <v>536</v>
      </c>
      <c r="M98" s="26" t="s">
        <v>611</v>
      </c>
      <c r="U98" s="20"/>
    </row>
    <row r="99" spans="1:21" x14ac:dyDescent="0.25">
      <c r="A99" t="s">
        <v>604</v>
      </c>
      <c r="B99" t="s">
        <v>538</v>
      </c>
      <c r="C99" t="s">
        <v>538</v>
      </c>
      <c r="M99" s="26" t="s">
        <v>612</v>
      </c>
      <c r="U99" s="20"/>
    </row>
    <row r="100" spans="1:21" x14ac:dyDescent="0.25">
      <c r="A100" t="s">
        <v>527</v>
      </c>
      <c r="B100" t="s">
        <v>613</v>
      </c>
      <c r="C100" t="s">
        <v>613</v>
      </c>
      <c r="M100" s="26" t="s">
        <v>537</v>
      </c>
      <c r="U100" s="20"/>
    </row>
    <row r="101" spans="1:21" x14ac:dyDescent="0.25">
      <c r="A101" t="s">
        <v>607</v>
      </c>
      <c r="B101" t="s">
        <v>614</v>
      </c>
      <c r="C101" t="s">
        <v>614</v>
      </c>
      <c r="M101" s="26" t="s">
        <v>540</v>
      </c>
      <c r="U101" s="20"/>
    </row>
    <row r="102" spans="1:21" x14ac:dyDescent="0.25">
      <c r="A102" t="s">
        <v>530</v>
      </c>
      <c r="B102" t="s">
        <v>615</v>
      </c>
      <c r="C102" t="s">
        <v>615</v>
      </c>
      <c r="M102" s="26" t="s">
        <v>616</v>
      </c>
      <c r="U102" s="20"/>
    </row>
    <row r="103" spans="1:21" x14ac:dyDescent="0.25">
      <c r="A103" t="s">
        <v>610</v>
      </c>
      <c r="B103" t="s">
        <v>617</v>
      </c>
      <c r="C103" t="s">
        <v>617</v>
      </c>
      <c r="M103" s="26" t="s">
        <v>618</v>
      </c>
      <c r="U103" s="20"/>
    </row>
    <row r="104" spans="1:21" x14ac:dyDescent="0.25">
      <c r="A104" t="s">
        <v>536</v>
      </c>
      <c r="B104" t="s">
        <v>441</v>
      </c>
      <c r="C104" t="s">
        <v>441</v>
      </c>
      <c r="M104" s="26" t="s">
        <v>619</v>
      </c>
    </row>
    <row r="105" spans="1:21" x14ac:dyDescent="0.25">
      <c r="A105" t="s">
        <v>538</v>
      </c>
      <c r="B105" t="s">
        <v>446</v>
      </c>
      <c r="C105" t="s">
        <v>446</v>
      </c>
      <c r="M105" s="26" t="s">
        <v>620</v>
      </c>
    </row>
    <row r="106" spans="1:21" x14ac:dyDescent="0.25">
      <c r="A106" t="s">
        <v>613</v>
      </c>
      <c r="B106" t="s">
        <v>543</v>
      </c>
      <c r="C106" t="s">
        <v>543</v>
      </c>
    </row>
    <row r="107" spans="1:21" x14ac:dyDescent="0.25">
      <c r="A107" t="s">
        <v>614</v>
      </c>
      <c r="B107" t="s">
        <v>544</v>
      </c>
      <c r="C107" t="s">
        <v>544</v>
      </c>
    </row>
    <row r="108" spans="1:21" x14ac:dyDescent="0.25">
      <c r="A108" t="s">
        <v>615</v>
      </c>
      <c r="B108" t="s">
        <v>452</v>
      </c>
      <c r="C108" t="s">
        <v>452</v>
      </c>
    </row>
    <row r="109" spans="1:21" x14ac:dyDescent="0.25">
      <c r="A109" t="s">
        <v>617</v>
      </c>
      <c r="B109" t="s">
        <v>457</v>
      </c>
      <c r="C109" t="s">
        <v>457</v>
      </c>
    </row>
    <row r="110" spans="1:21" x14ac:dyDescent="0.25">
      <c r="A110" t="s">
        <v>441</v>
      </c>
      <c r="B110" t="s">
        <v>449</v>
      </c>
      <c r="C110" t="s">
        <v>449</v>
      </c>
    </row>
    <row r="111" spans="1:21" x14ac:dyDescent="0.25">
      <c r="A111" t="s">
        <v>446</v>
      </c>
      <c r="B111" t="s">
        <v>621</v>
      </c>
      <c r="C111" t="s">
        <v>621</v>
      </c>
    </row>
    <row r="112" spans="1:21" x14ac:dyDescent="0.25">
      <c r="A112" t="s">
        <v>543</v>
      </c>
      <c r="B112" t="s">
        <v>462</v>
      </c>
      <c r="C112" t="s">
        <v>462</v>
      </c>
    </row>
    <row r="113" spans="1:3" x14ac:dyDescent="0.25">
      <c r="A113" t="s">
        <v>544</v>
      </c>
      <c r="B113" t="s">
        <v>453</v>
      </c>
      <c r="C113" t="s">
        <v>453</v>
      </c>
    </row>
    <row r="114" spans="1:3" x14ac:dyDescent="0.25">
      <c r="A114" t="s">
        <v>452</v>
      </c>
      <c r="B114" t="s">
        <v>622</v>
      </c>
      <c r="C114" t="s">
        <v>622</v>
      </c>
    </row>
    <row r="115" spans="1:3" x14ac:dyDescent="0.25">
      <c r="A115" t="s">
        <v>457</v>
      </c>
      <c r="B115" t="s">
        <v>623</v>
      </c>
      <c r="C115" t="s">
        <v>623</v>
      </c>
    </row>
    <row r="116" spans="1:3" x14ac:dyDescent="0.25">
      <c r="A116" t="s">
        <v>449</v>
      </c>
      <c r="B116" t="s">
        <v>624</v>
      </c>
      <c r="C116" t="s">
        <v>624</v>
      </c>
    </row>
    <row r="117" spans="1:3" x14ac:dyDescent="0.25">
      <c r="A117" t="s">
        <v>621</v>
      </c>
      <c r="B117" t="s">
        <v>466</v>
      </c>
      <c r="C117" t="s">
        <v>466</v>
      </c>
    </row>
    <row r="118" spans="1:3" x14ac:dyDescent="0.25">
      <c r="A118" t="s">
        <v>462</v>
      </c>
      <c r="B118" t="s">
        <v>471</v>
      </c>
      <c r="C118" t="s">
        <v>471</v>
      </c>
    </row>
    <row r="119" spans="1:3" x14ac:dyDescent="0.25">
      <c r="A119" t="s">
        <v>453</v>
      </c>
      <c r="B119" t="s">
        <v>547</v>
      </c>
      <c r="C119" t="s">
        <v>547</v>
      </c>
    </row>
    <row r="120" spans="1:3" x14ac:dyDescent="0.25">
      <c r="A120" t="s">
        <v>622</v>
      </c>
      <c r="B120" t="s">
        <v>549</v>
      </c>
      <c r="C120" t="s">
        <v>549</v>
      </c>
    </row>
    <row r="121" spans="1:3" x14ac:dyDescent="0.25">
      <c r="A121" t="s">
        <v>623</v>
      </c>
      <c r="B121" t="s">
        <v>625</v>
      </c>
      <c r="C121" t="s">
        <v>625</v>
      </c>
    </row>
    <row r="122" spans="1:3" x14ac:dyDescent="0.25">
      <c r="A122" t="s">
        <v>624</v>
      </c>
      <c r="B122" t="s">
        <v>475</v>
      </c>
      <c r="C122" t="s">
        <v>475</v>
      </c>
    </row>
    <row r="123" spans="1:3" x14ac:dyDescent="0.25">
      <c r="A123" t="s">
        <v>466</v>
      </c>
      <c r="B123" t="s">
        <v>478</v>
      </c>
      <c r="C123" t="s">
        <v>478</v>
      </c>
    </row>
    <row r="124" spans="1:3" x14ac:dyDescent="0.25">
      <c r="A124" t="s">
        <v>471</v>
      </c>
      <c r="B124" t="s">
        <v>626</v>
      </c>
      <c r="C124" t="s">
        <v>626</v>
      </c>
    </row>
    <row r="125" spans="1:3" x14ac:dyDescent="0.25">
      <c r="A125" t="s">
        <v>547</v>
      </c>
      <c r="B125" t="s">
        <v>458</v>
      </c>
      <c r="C125" t="s">
        <v>458</v>
      </c>
    </row>
    <row r="126" spans="1:3" x14ac:dyDescent="0.25">
      <c r="A126" t="s">
        <v>549</v>
      </c>
      <c r="B126" t="s">
        <v>481</v>
      </c>
      <c r="C126" t="s">
        <v>481</v>
      </c>
    </row>
    <row r="127" spans="1:3" x14ac:dyDescent="0.25">
      <c r="A127" t="s">
        <v>625</v>
      </c>
      <c r="B127" t="s">
        <v>554</v>
      </c>
      <c r="C127" t="s">
        <v>554</v>
      </c>
    </row>
    <row r="128" spans="1:3" x14ac:dyDescent="0.25">
      <c r="A128" t="s">
        <v>475</v>
      </c>
      <c r="B128" t="s">
        <v>556</v>
      </c>
      <c r="C128" t="s">
        <v>556</v>
      </c>
    </row>
    <row r="129" spans="1:3" x14ac:dyDescent="0.25">
      <c r="A129" t="s">
        <v>478</v>
      </c>
      <c r="B129" t="s">
        <v>484</v>
      </c>
      <c r="C129" t="s">
        <v>484</v>
      </c>
    </row>
    <row r="130" spans="1:3" x14ac:dyDescent="0.25">
      <c r="A130" t="s">
        <v>626</v>
      </c>
      <c r="B130" t="s">
        <v>463</v>
      </c>
      <c r="C130" t="s">
        <v>463</v>
      </c>
    </row>
    <row r="131" spans="1:3" x14ac:dyDescent="0.25">
      <c r="A131" t="s">
        <v>458</v>
      </c>
      <c r="B131" t="s">
        <v>467</v>
      </c>
      <c r="C131" t="s">
        <v>467</v>
      </c>
    </row>
    <row r="132" spans="1:3" x14ac:dyDescent="0.25">
      <c r="A132" t="s">
        <v>481</v>
      </c>
      <c r="B132" t="s">
        <v>472</v>
      </c>
      <c r="C132" t="s">
        <v>472</v>
      </c>
    </row>
    <row r="133" spans="1:3" x14ac:dyDescent="0.25">
      <c r="A133" t="s">
        <v>554</v>
      </c>
      <c r="B133" t="s">
        <v>627</v>
      </c>
      <c r="C133" t="s">
        <v>627</v>
      </c>
    </row>
    <row r="134" spans="1:3" x14ac:dyDescent="0.25">
      <c r="A134" t="s">
        <v>556</v>
      </c>
      <c r="B134" s="35" t="s">
        <v>910</v>
      </c>
      <c r="C134" s="35" t="s">
        <v>910</v>
      </c>
    </row>
    <row r="135" spans="1:3" x14ac:dyDescent="0.25">
      <c r="A135" t="s">
        <v>484</v>
      </c>
      <c r="B135" t="s">
        <v>558</v>
      </c>
      <c r="C135" t="s">
        <v>558</v>
      </c>
    </row>
    <row r="136" spans="1:3" x14ac:dyDescent="0.25">
      <c r="A136" t="s">
        <v>463</v>
      </c>
      <c r="B136" t="s">
        <v>560</v>
      </c>
      <c r="C136" t="s">
        <v>560</v>
      </c>
    </row>
    <row r="137" spans="1:3" x14ac:dyDescent="0.25">
      <c r="A137" t="s">
        <v>467</v>
      </c>
      <c r="B137" t="s">
        <v>561</v>
      </c>
      <c r="C137" t="s">
        <v>561</v>
      </c>
    </row>
    <row r="138" spans="1:3" x14ac:dyDescent="0.25">
      <c r="A138" t="s">
        <v>472</v>
      </c>
      <c r="B138" t="s">
        <v>628</v>
      </c>
      <c r="C138" t="s">
        <v>628</v>
      </c>
    </row>
    <row r="139" spans="1:3" x14ac:dyDescent="0.25">
      <c r="A139" t="s">
        <v>627</v>
      </c>
      <c r="B139" t="s">
        <v>563</v>
      </c>
      <c r="C139" t="s">
        <v>563</v>
      </c>
    </row>
    <row r="140" spans="1:3" x14ac:dyDescent="0.25">
      <c r="A140" s="35" t="s">
        <v>910</v>
      </c>
      <c r="B140" t="s">
        <v>476</v>
      </c>
      <c r="C140" t="s">
        <v>476</v>
      </c>
    </row>
    <row r="141" spans="1:3" x14ac:dyDescent="0.25">
      <c r="A141" t="s">
        <v>558</v>
      </c>
      <c r="B141" t="s">
        <v>565</v>
      </c>
      <c r="C141" t="s">
        <v>565</v>
      </c>
    </row>
    <row r="142" spans="1:3" x14ac:dyDescent="0.25">
      <c r="A142" t="s">
        <v>560</v>
      </c>
      <c r="B142" t="s">
        <v>629</v>
      </c>
      <c r="C142" t="s">
        <v>629</v>
      </c>
    </row>
    <row r="143" spans="1:3" x14ac:dyDescent="0.25">
      <c r="A143" t="s">
        <v>561</v>
      </c>
      <c r="B143" t="s">
        <v>566</v>
      </c>
      <c r="C143" t="s">
        <v>566</v>
      </c>
    </row>
    <row r="144" spans="1:3" x14ac:dyDescent="0.25">
      <c r="A144" t="s">
        <v>628</v>
      </c>
      <c r="B144" t="s">
        <v>630</v>
      </c>
      <c r="C144" t="s">
        <v>630</v>
      </c>
    </row>
    <row r="145" spans="1:3" x14ac:dyDescent="0.25">
      <c r="A145" t="s">
        <v>563</v>
      </c>
      <c r="B145" t="s">
        <v>631</v>
      </c>
      <c r="C145" t="s">
        <v>631</v>
      </c>
    </row>
    <row r="146" spans="1:3" x14ac:dyDescent="0.25">
      <c r="A146" t="s">
        <v>476</v>
      </c>
      <c r="B146" t="s">
        <v>632</v>
      </c>
      <c r="C146" t="s">
        <v>632</v>
      </c>
    </row>
    <row r="147" spans="1:3" x14ac:dyDescent="0.25">
      <c r="A147" t="s">
        <v>565</v>
      </c>
      <c r="B147" t="s">
        <v>633</v>
      </c>
      <c r="C147" t="s">
        <v>633</v>
      </c>
    </row>
    <row r="148" spans="1:3" x14ac:dyDescent="0.25">
      <c r="A148" t="s">
        <v>629</v>
      </c>
      <c r="B148" t="s">
        <v>488</v>
      </c>
      <c r="C148" t="s">
        <v>488</v>
      </c>
    </row>
    <row r="149" spans="1:3" x14ac:dyDescent="0.25">
      <c r="A149" t="s">
        <v>566</v>
      </c>
      <c r="B149" t="s">
        <v>634</v>
      </c>
      <c r="C149" t="s">
        <v>634</v>
      </c>
    </row>
    <row r="150" spans="1:3" x14ac:dyDescent="0.25">
      <c r="A150" t="s">
        <v>630</v>
      </c>
      <c r="B150" t="s">
        <v>570</v>
      </c>
      <c r="C150" t="s">
        <v>570</v>
      </c>
    </row>
    <row r="151" spans="1:3" x14ac:dyDescent="0.25">
      <c r="A151" t="s">
        <v>631</v>
      </c>
      <c r="B151" t="s">
        <v>635</v>
      </c>
      <c r="C151" t="s">
        <v>635</v>
      </c>
    </row>
    <row r="152" spans="1:3" x14ac:dyDescent="0.25">
      <c r="A152" t="s">
        <v>632</v>
      </c>
      <c r="B152" t="s">
        <v>636</v>
      </c>
      <c r="C152" t="s">
        <v>636</v>
      </c>
    </row>
    <row r="153" spans="1:3" x14ac:dyDescent="0.25">
      <c r="A153" t="s">
        <v>633</v>
      </c>
      <c r="B153" t="s">
        <v>491</v>
      </c>
      <c r="C153" t="s">
        <v>491</v>
      </c>
    </row>
    <row r="154" spans="1:3" x14ac:dyDescent="0.25">
      <c r="A154" t="s">
        <v>488</v>
      </c>
      <c r="B154" t="s">
        <v>572</v>
      </c>
      <c r="C154" t="s">
        <v>572</v>
      </c>
    </row>
    <row r="155" spans="1:3" x14ac:dyDescent="0.25">
      <c r="A155" t="s">
        <v>634</v>
      </c>
      <c r="B155" t="s">
        <v>637</v>
      </c>
      <c r="C155" t="s">
        <v>637</v>
      </c>
    </row>
    <row r="156" spans="1:3" x14ac:dyDescent="0.25">
      <c r="A156" t="s">
        <v>570</v>
      </c>
      <c r="B156" t="s">
        <v>573</v>
      </c>
      <c r="C156" t="s">
        <v>573</v>
      </c>
    </row>
    <row r="157" spans="1:3" x14ac:dyDescent="0.25">
      <c r="A157" t="s">
        <v>635</v>
      </c>
      <c r="B157" t="s">
        <v>638</v>
      </c>
      <c r="C157" t="s">
        <v>638</v>
      </c>
    </row>
    <row r="158" spans="1:3" x14ac:dyDescent="0.25">
      <c r="A158" t="s">
        <v>636</v>
      </c>
      <c r="B158" t="s">
        <v>574</v>
      </c>
      <c r="C158" t="s">
        <v>574</v>
      </c>
    </row>
    <row r="159" spans="1:3" x14ac:dyDescent="0.25">
      <c r="A159" t="s">
        <v>491</v>
      </c>
      <c r="B159" t="s">
        <v>479</v>
      </c>
      <c r="C159" t="s">
        <v>479</v>
      </c>
    </row>
    <row r="160" spans="1:3" x14ac:dyDescent="0.25">
      <c r="A160" t="s">
        <v>572</v>
      </c>
      <c r="B160" t="s">
        <v>639</v>
      </c>
      <c r="C160" t="s">
        <v>639</v>
      </c>
    </row>
    <row r="161" spans="1:3" x14ac:dyDescent="0.25">
      <c r="A161" s="38" t="s">
        <v>637</v>
      </c>
      <c r="B161" t="s">
        <v>640</v>
      </c>
      <c r="C161" t="s">
        <v>640</v>
      </c>
    </row>
    <row r="162" spans="1:3" x14ac:dyDescent="0.25">
      <c r="A162" t="s">
        <v>573</v>
      </c>
      <c r="B162" t="s">
        <v>641</v>
      </c>
      <c r="C162" t="s">
        <v>641</v>
      </c>
    </row>
    <row r="163" spans="1:3" x14ac:dyDescent="0.25">
      <c r="A163" s="39" t="s">
        <v>642</v>
      </c>
      <c r="B163" t="s">
        <v>575</v>
      </c>
      <c r="C163" t="s">
        <v>575</v>
      </c>
    </row>
    <row r="164" spans="1:3" x14ac:dyDescent="0.25">
      <c r="A164" t="s">
        <v>638</v>
      </c>
      <c r="B164" t="s">
        <v>577</v>
      </c>
      <c r="C164" t="s">
        <v>577</v>
      </c>
    </row>
    <row r="165" spans="1:3" x14ac:dyDescent="0.25">
      <c r="A165" t="s">
        <v>574</v>
      </c>
      <c r="B165" t="s">
        <v>643</v>
      </c>
      <c r="C165" t="s">
        <v>643</v>
      </c>
    </row>
    <row r="166" spans="1:3" x14ac:dyDescent="0.25">
      <c r="A166" t="s">
        <v>479</v>
      </c>
      <c r="B166" t="s">
        <v>644</v>
      </c>
      <c r="C166" t="s">
        <v>644</v>
      </c>
    </row>
    <row r="167" spans="1:3" x14ac:dyDescent="0.25">
      <c r="A167" t="s">
        <v>639</v>
      </c>
      <c r="B167" t="s">
        <v>645</v>
      </c>
      <c r="C167" t="s">
        <v>645</v>
      </c>
    </row>
    <row r="168" spans="1:3" x14ac:dyDescent="0.25">
      <c r="A168" t="s">
        <v>640</v>
      </c>
      <c r="B168" t="s">
        <v>482</v>
      </c>
      <c r="C168" t="s">
        <v>482</v>
      </c>
    </row>
    <row r="169" spans="1:3" x14ac:dyDescent="0.25">
      <c r="A169" t="s">
        <v>641</v>
      </c>
      <c r="B169" t="s">
        <v>497</v>
      </c>
      <c r="C169" t="s">
        <v>497</v>
      </c>
    </row>
    <row r="170" spans="1:3" x14ac:dyDescent="0.25">
      <c r="A170" t="s">
        <v>575</v>
      </c>
      <c r="B170" t="s">
        <v>578</v>
      </c>
      <c r="C170" t="s">
        <v>578</v>
      </c>
    </row>
    <row r="171" spans="1:3" x14ac:dyDescent="0.25">
      <c r="A171" t="s">
        <v>577</v>
      </c>
      <c r="B171" t="s">
        <v>579</v>
      </c>
      <c r="C171" t="s">
        <v>579</v>
      </c>
    </row>
    <row r="172" spans="1:3" x14ac:dyDescent="0.25">
      <c r="A172" t="s">
        <v>643</v>
      </c>
      <c r="B172" t="s">
        <v>501</v>
      </c>
      <c r="C172" t="s">
        <v>501</v>
      </c>
    </row>
    <row r="173" spans="1:3" x14ac:dyDescent="0.25">
      <c r="A173" t="s">
        <v>644</v>
      </c>
      <c r="B173" t="s">
        <v>581</v>
      </c>
      <c r="C173" t="s">
        <v>581</v>
      </c>
    </row>
    <row r="174" spans="1:3" x14ac:dyDescent="0.25">
      <c r="A174" t="s">
        <v>645</v>
      </c>
      <c r="B174" t="s">
        <v>580</v>
      </c>
      <c r="C174" t="s">
        <v>580</v>
      </c>
    </row>
    <row r="175" spans="1:3" x14ac:dyDescent="0.25">
      <c r="A175" t="s">
        <v>482</v>
      </c>
      <c r="B175" t="s">
        <v>583</v>
      </c>
      <c r="C175" t="s">
        <v>583</v>
      </c>
    </row>
    <row r="176" spans="1:3" x14ac:dyDescent="0.25">
      <c r="A176" s="39" t="s">
        <v>646</v>
      </c>
      <c r="B176" t="s">
        <v>504</v>
      </c>
      <c r="C176" t="s">
        <v>504</v>
      </c>
    </row>
    <row r="177" spans="1:3" x14ac:dyDescent="0.25">
      <c r="A177" t="s">
        <v>497</v>
      </c>
      <c r="B177" t="s">
        <v>586</v>
      </c>
      <c r="C177" t="s">
        <v>586</v>
      </c>
    </row>
    <row r="178" spans="1:3" x14ac:dyDescent="0.25">
      <c r="A178" t="s">
        <v>578</v>
      </c>
      <c r="B178" t="s">
        <v>647</v>
      </c>
      <c r="C178" t="s">
        <v>647</v>
      </c>
    </row>
    <row r="179" spans="1:3" x14ac:dyDescent="0.25">
      <c r="A179" t="s">
        <v>579</v>
      </c>
      <c r="B179" t="s">
        <v>485</v>
      </c>
      <c r="C179" t="s">
        <v>485</v>
      </c>
    </row>
    <row r="180" spans="1:3" x14ac:dyDescent="0.25">
      <c r="A180" t="s">
        <v>501</v>
      </c>
      <c r="B180" t="s">
        <v>489</v>
      </c>
      <c r="C180" t="s">
        <v>489</v>
      </c>
    </row>
    <row r="181" spans="1:3" x14ac:dyDescent="0.25">
      <c r="A181" t="s">
        <v>581</v>
      </c>
      <c r="B181" t="s">
        <v>648</v>
      </c>
      <c r="C181" t="s">
        <v>648</v>
      </c>
    </row>
    <row r="182" spans="1:3" x14ac:dyDescent="0.25">
      <c r="A182" t="s">
        <v>580</v>
      </c>
      <c r="B182" t="s">
        <v>508</v>
      </c>
      <c r="C182" t="s">
        <v>508</v>
      </c>
    </row>
    <row r="183" spans="1:3" x14ac:dyDescent="0.25">
      <c r="A183" t="s">
        <v>583</v>
      </c>
      <c r="B183" t="s">
        <v>649</v>
      </c>
      <c r="C183" t="s">
        <v>649</v>
      </c>
    </row>
    <row r="184" spans="1:3" x14ac:dyDescent="0.25">
      <c r="A184" t="s">
        <v>504</v>
      </c>
      <c r="B184" t="s">
        <v>492</v>
      </c>
      <c r="C184" t="s">
        <v>492</v>
      </c>
    </row>
    <row r="185" spans="1:3" x14ac:dyDescent="0.25">
      <c r="A185" t="s">
        <v>586</v>
      </c>
      <c r="B185" t="s">
        <v>511</v>
      </c>
      <c r="C185" t="s">
        <v>511</v>
      </c>
    </row>
    <row r="186" spans="1:3" x14ac:dyDescent="0.25">
      <c r="A186" t="s">
        <v>650</v>
      </c>
      <c r="B186" t="s">
        <v>587</v>
      </c>
      <c r="C186" t="s">
        <v>587</v>
      </c>
    </row>
    <row r="187" spans="1:3" x14ac:dyDescent="0.25">
      <c r="A187" t="s">
        <v>485</v>
      </c>
      <c r="B187" t="s">
        <v>651</v>
      </c>
      <c r="C187" t="s">
        <v>651</v>
      </c>
    </row>
    <row r="188" spans="1:3" x14ac:dyDescent="0.25">
      <c r="A188" t="s">
        <v>489</v>
      </c>
      <c r="B188" t="s">
        <v>652</v>
      </c>
      <c r="C188" t="s">
        <v>652</v>
      </c>
    </row>
    <row r="189" spans="1:3" x14ac:dyDescent="0.25">
      <c r="A189" t="s">
        <v>648</v>
      </c>
      <c r="B189" t="s">
        <v>653</v>
      </c>
      <c r="C189" t="s">
        <v>653</v>
      </c>
    </row>
    <row r="190" spans="1:3" x14ac:dyDescent="0.25">
      <c r="A190" t="s">
        <v>508</v>
      </c>
      <c r="B190" t="s">
        <v>654</v>
      </c>
      <c r="C190" t="s">
        <v>654</v>
      </c>
    </row>
    <row r="191" spans="1:3" x14ac:dyDescent="0.25">
      <c r="A191" s="39" t="s">
        <v>655</v>
      </c>
      <c r="B191" t="s">
        <v>656</v>
      </c>
      <c r="C191" t="s">
        <v>656</v>
      </c>
    </row>
    <row r="192" spans="1:3" x14ac:dyDescent="0.25">
      <c r="A192" t="s">
        <v>649</v>
      </c>
      <c r="B192" t="s">
        <v>657</v>
      </c>
      <c r="C192" t="s">
        <v>657</v>
      </c>
    </row>
    <row r="193" spans="1:3" x14ac:dyDescent="0.25">
      <c r="A193" t="s">
        <v>492</v>
      </c>
      <c r="B193" t="s">
        <v>658</v>
      </c>
      <c r="C193" t="s">
        <v>658</v>
      </c>
    </row>
    <row r="194" spans="1:3" x14ac:dyDescent="0.25">
      <c r="A194" t="s">
        <v>511</v>
      </c>
      <c r="B194" t="s">
        <v>659</v>
      </c>
      <c r="C194" t="s">
        <v>659</v>
      </c>
    </row>
    <row r="195" spans="1:3" x14ac:dyDescent="0.25">
      <c r="A195" t="s">
        <v>587</v>
      </c>
      <c r="B195" t="s">
        <v>660</v>
      </c>
      <c r="C195" t="s">
        <v>660</v>
      </c>
    </row>
    <row r="196" spans="1:3" x14ac:dyDescent="0.25">
      <c r="A196" t="s">
        <v>651</v>
      </c>
      <c r="B196" t="s">
        <v>589</v>
      </c>
      <c r="C196" t="s">
        <v>589</v>
      </c>
    </row>
    <row r="197" spans="1:3" x14ac:dyDescent="0.25">
      <c r="A197" t="s">
        <v>652</v>
      </c>
      <c r="B197" t="s">
        <v>516</v>
      </c>
      <c r="C197" t="s">
        <v>516</v>
      </c>
    </row>
    <row r="198" spans="1:3" x14ac:dyDescent="0.25">
      <c r="A198" t="s">
        <v>653</v>
      </c>
      <c r="B198" t="s">
        <v>591</v>
      </c>
      <c r="C198" t="s">
        <v>591</v>
      </c>
    </row>
    <row r="199" spans="1:3" x14ac:dyDescent="0.25">
      <c r="A199" t="s">
        <v>654</v>
      </c>
      <c r="B199" t="s">
        <v>661</v>
      </c>
      <c r="C199" t="s">
        <v>661</v>
      </c>
    </row>
    <row r="200" spans="1:3" x14ac:dyDescent="0.25">
      <c r="A200" t="s">
        <v>656</v>
      </c>
      <c r="B200" t="s">
        <v>662</v>
      </c>
      <c r="C200" t="s">
        <v>662</v>
      </c>
    </row>
    <row r="201" spans="1:3" x14ac:dyDescent="0.25">
      <c r="A201" t="s">
        <v>657</v>
      </c>
      <c r="B201" t="s">
        <v>592</v>
      </c>
      <c r="C201" t="s">
        <v>592</v>
      </c>
    </row>
    <row r="202" spans="1:3" x14ac:dyDescent="0.25">
      <c r="A202" t="s">
        <v>658</v>
      </c>
      <c r="B202" t="s">
        <v>663</v>
      </c>
      <c r="C202" t="s">
        <v>663</v>
      </c>
    </row>
    <row r="203" spans="1:3" x14ac:dyDescent="0.25">
      <c r="A203" t="s">
        <v>664</v>
      </c>
      <c r="B203" t="s">
        <v>665</v>
      </c>
      <c r="C203" t="s">
        <v>665</v>
      </c>
    </row>
    <row r="204" spans="1:3" x14ac:dyDescent="0.25">
      <c r="A204" t="s">
        <v>660</v>
      </c>
      <c r="B204" t="s">
        <v>494</v>
      </c>
      <c r="C204" t="s">
        <v>494</v>
      </c>
    </row>
    <row r="205" spans="1:3" x14ac:dyDescent="0.25">
      <c r="A205" t="s">
        <v>589</v>
      </c>
      <c r="B205" t="s">
        <v>498</v>
      </c>
      <c r="C205" t="s">
        <v>498</v>
      </c>
    </row>
    <row r="206" spans="1:3" x14ac:dyDescent="0.25">
      <c r="A206" t="s">
        <v>516</v>
      </c>
      <c r="B206" t="s">
        <v>593</v>
      </c>
      <c r="C206" t="s">
        <v>593</v>
      </c>
    </row>
    <row r="207" spans="1:3" x14ac:dyDescent="0.25">
      <c r="A207" t="s">
        <v>591</v>
      </c>
      <c r="B207" t="s">
        <v>594</v>
      </c>
      <c r="C207" t="s">
        <v>594</v>
      </c>
    </row>
    <row r="208" spans="1:3" x14ac:dyDescent="0.25">
      <c r="A208" t="s">
        <v>661</v>
      </c>
      <c r="B208" t="s">
        <v>595</v>
      </c>
      <c r="C208" t="s">
        <v>595</v>
      </c>
    </row>
    <row r="209" spans="1:3" x14ac:dyDescent="0.25">
      <c r="A209" t="s">
        <v>662</v>
      </c>
      <c r="B209" t="s">
        <v>666</v>
      </c>
      <c r="C209" t="s">
        <v>666</v>
      </c>
    </row>
    <row r="210" spans="1:3" x14ac:dyDescent="0.25">
      <c r="A210" t="s">
        <v>592</v>
      </c>
      <c r="B210" t="s">
        <v>667</v>
      </c>
      <c r="C210" t="s">
        <v>667</v>
      </c>
    </row>
    <row r="211" spans="1:3" x14ac:dyDescent="0.25">
      <c r="A211" t="s">
        <v>663</v>
      </c>
      <c r="B211" t="s">
        <v>596</v>
      </c>
      <c r="C211" t="s">
        <v>596</v>
      </c>
    </row>
    <row r="212" spans="1:3" x14ac:dyDescent="0.25">
      <c r="A212" t="s">
        <v>665</v>
      </c>
      <c r="B212" t="s">
        <v>502</v>
      </c>
      <c r="C212" t="s">
        <v>502</v>
      </c>
    </row>
    <row r="213" spans="1:3" x14ac:dyDescent="0.25">
      <c r="A213" t="s">
        <v>494</v>
      </c>
      <c r="B213" t="s">
        <v>598</v>
      </c>
      <c r="C213" t="s">
        <v>598</v>
      </c>
    </row>
    <row r="214" spans="1:3" x14ac:dyDescent="0.25">
      <c r="A214" t="s">
        <v>498</v>
      </c>
      <c r="B214" t="s">
        <v>518</v>
      </c>
      <c r="C214" t="s">
        <v>518</v>
      </c>
    </row>
    <row r="215" spans="1:3" x14ac:dyDescent="0.25">
      <c r="A215" t="s">
        <v>593</v>
      </c>
      <c r="B215" t="s">
        <v>600</v>
      </c>
      <c r="C215" t="s">
        <v>600</v>
      </c>
    </row>
    <row r="216" spans="1:3" x14ac:dyDescent="0.25">
      <c r="A216" t="s">
        <v>594</v>
      </c>
      <c r="B216" t="s">
        <v>668</v>
      </c>
      <c r="C216" t="s">
        <v>668</v>
      </c>
    </row>
    <row r="217" spans="1:3" x14ac:dyDescent="0.25">
      <c r="A217" t="s">
        <v>595</v>
      </c>
      <c r="B217" t="s">
        <v>602</v>
      </c>
      <c r="C217" t="s">
        <v>602</v>
      </c>
    </row>
    <row r="218" spans="1:3" x14ac:dyDescent="0.25">
      <c r="A218" t="s">
        <v>666</v>
      </c>
      <c r="B218" t="s">
        <v>505</v>
      </c>
      <c r="C218" t="s">
        <v>505</v>
      </c>
    </row>
    <row r="219" spans="1:3" x14ac:dyDescent="0.25">
      <c r="A219" t="s">
        <v>667</v>
      </c>
      <c r="B219" t="s">
        <v>509</v>
      </c>
      <c r="C219" t="s">
        <v>509</v>
      </c>
    </row>
    <row r="220" spans="1:3" x14ac:dyDescent="0.25">
      <c r="A220" t="s">
        <v>596</v>
      </c>
      <c r="B220" t="s">
        <v>521</v>
      </c>
      <c r="C220" t="s">
        <v>521</v>
      </c>
    </row>
    <row r="221" spans="1:3" x14ac:dyDescent="0.25">
      <c r="A221" t="s">
        <v>502</v>
      </c>
      <c r="B221" t="s">
        <v>669</v>
      </c>
      <c r="C221" t="s">
        <v>669</v>
      </c>
    </row>
    <row r="222" spans="1:3" x14ac:dyDescent="0.25">
      <c r="A222" t="s">
        <v>598</v>
      </c>
      <c r="B222" t="s">
        <v>523</v>
      </c>
      <c r="C222" t="s">
        <v>523</v>
      </c>
    </row>
    <row r="223" spans="1:3" x14ac:dyDescent="0.25">
      <c r="A223" s="39" t="s">
        <v>670</v>
      </c>
      <c r="B223" t="s">
        <v>671</v>
      </c>
      <c r="C223" t="s">
        <v>671</v>
      </c>
    </row>
    <row r="224" spans="1:3" x14ac:dyDescent="0.25">
      <c r="A224" s="39" t="s">
        <v>672</v>
      </c>
      <c r="B224" t="s">
        <v>606</v>
      </c>
      <c r="C224" t="s">
        <v>606</v>
      </c>
    </row>
    <row r="225" spans="1:3" x14ac:dyDescent="0.25">
      <c r="A225" t="s">
        <v>518</v>
      </c>
      <c r="B225" t="s">
        <v>673</v>
      </c>
      <c r="C225" t="s">
        <v>673</v>
      </c>
    </row>
    <row r="226" spans="1:3" x14ac:dyDescent="0.25">
      <c r="A226" t="s">
        <v>600</v>
      </c>
      <c r="B226" t="s">
        <v>609</v>
      </c>
      <c r="C226" t="s">
        <v>609</v>
      </c>
    </row>
    <row r="227" spans="1:3" x14ac:dyDescent="0.25">
      <c r="A227" t="s">
        <v>668</v>
      </c>
      <c r="B227" t="s">
        <v>674</v>
      </c>
      <c r="C227" t="s">
        <v>674</v>
      </c>
    </row>
    <row r="228" spans="1:3" x14ac:dyDescent="0.25">
      <c r="A228" t="s">
        <v>602</v>
      </c>
      <c r="B228" t="s">
        <v>675</v>
      </c>
      <c r="C228" t="s">
        <v>675</v>
      </c>
    </row>
    <row r="229" spans="1:3" x14ac:dyDescent="0.25">
      <c r="A229" t="s">
        <v>505</v>
      </c>
      <c r="B229" t="s">
        <v>676</v>
      </c>
      <c r="C229" t="s">
        <v>676</v>
      </c>
    </row>
    <row r="230" spans="1:3" x14ac:dyDescent="0.25">
      <c r="A230" t="s">
        <v>509</v>
      </c>
      <c r="B230" t="s">
        <v>526</v>
      </c>
      <c r="C230" t="s">
        <v>526</v>
      </c>
    </row>
    <row r="231" spans="1:3" x14ac:dyDescent="0.25">
      <c r="A231" t="s">
        <v>521</v>
      </c>
      <c r="B231" t="s">
        <v>529</v>
      </c>
      <c r="C231" t="s">
        <v>529</v>
      </c>
    </row>
    <row r="232" spans="1:3" x14ac:dyDescent="0.25">
      <c r="A232" t="s">
        <v>669</v>
      </c>
      <c r="B232" t="s">
        <v>677</v>
      </c>
      <c r="C232" t="s">
        <v>677</v>
      </c>
    </row>
    <row r="233" spans="1:3" x14ac:dyDescent="0.25">
      <c r="A233" t="s">
        <v>523</v>
      </c>
      <c r="B233" t="s">
        <v>532</v>
      </c>
      <c r="C233" t="s">
        <v>532</v>
      </c>
    </row>
    <row r="234" spans="1:3" x14ac:dyDescent="0.25">
      <c r="A234" t="s">
        <v>671</v>
      </c>
      <c r="B234" t="s">
        <v>678</v>
      </c>
      <c r="C234" t="s">
        <v>678</v>
      </c>
    </row>
    <row r="235" spans="1:3" x14ac:dyDescent="0.25">
      <c r="A235" t="s">
        <v>606</v>
      </c>
      <c r="B235" t="s">
        <v>611</v>
      </c>
      <c r="C235" t="s">
        <v>611</v>
      </c>
    </row>
    <row r="236" spans="1:3" x14ac:dyDescent="0.25">
      <c r="A236" t="s">
        <v>673</v>
      </c>
      <c r="B236" t="s">
        <v>612</v>
      </c>
      <c r="C236" t="s">
        <v>612</v>
      </c>
    </row>
    <row r="237" spans="1:3" x14ac:dyDescent="0.25">
      <c r="A237" t="s">
        <v>609</v>
      </c>
      <c r="B237" t="s">
        <v>537</v>
      </c>
      <c r="C237" t="s">
        <v>537</v>
      </c>
    </row>
    <row r="238" spans="1:3" x14ac:dyDescent="0.25">
      <c r="A238" t="s">
        <v>674</v>
      </c>
      <c r="B238" t="s">
        <v>535</v>
      </c>
      <c r="C238" t="s">
        <v>535</v>
      </c>
    </row>
    <row r="239" spans="1:3" x14ac:dyDescent="0.25">
      <c r="A239" t="s">
        <v>675</v>
      </c>
      <c r="B239" t="s">
        <v>679</v>
      </c>
      <c r="C239" t="s">
        <v>679</v>
      </c>
    </row>
    <row r="240" spans="1:3" x14ac:dyDescent="0.25">
      <c r="A240" t="s">
        <v>676</v>
      </c>
      <c r="B240" t="s">
        <v>512</v>
      </c>
      <c r="C240" t="s">
        <v>512</v>
      </c>
    </row>
    <row r="241" spans="1:3" x14ac:dyDescent="0.25">
      <c r="A241" t="s">
        <v>526</v>
      </c>
      <c r="B241" t="s">
        <v>680</v>
      </c>
      <c r="C241" t="s">
        <v>680</v>
      </c>
    </row>
    <row r="242" spans="1:3" x14ac:dyDescent="0.25">
      <c r="A242" t="s">
        <v>529</v>
      </c>
      <c r="B242" t="s">
        <v>681</v>
      </c>
      <c r="C242" t="s">
        <v>681</v>
      </c>
    </row>
    <row r="243" spans="1:3" x14ac:dyDescent="0.25">
      <c r="A243" t="s">
        <v>677</v>
      </c>
      <c r="B243" t="s">
        <v>682</v>
      </c>
      <c r="C243" t="s">
        <v>682</v>
      </c>
    </row>
    <row r="244" spans="1:3" x14ac:dyDescent="0.25">
      <c r="A244" t="s">
        <v>532</v>
      </c>
      <c r="B244" t="s">
        <v>683</v>
      </c>
      <c r="C244" t="s">
        <v>683</v>
      </c>
    </row>
    <row r="245" spans="1:3" x14ac:dyDescent="0.25">
      <c r="A245" t="s">
        <v>678</v>
      </c>
      <c r="B245" t="s">
        <v>684</v>
      </c>
      <c r="C245" t="s">
        <v>684</v>
      </c>
    </row>
    <row r="246" spans="1:3" x14ac:dyDescent="0.25">
      <c r="A246" t="s">
        <v>611</v>
      </c>
      <c r="B246" t="s">
        <v>685</v>
      </c>
      <c r="C246" t="s">
        <v>685</v>
      </c>
    </row>
    <row r="247" spans="1:3" x14ac:dyDescent="0.25">
      <c r="A247" t="s">
        <v>612</v>
      </c>
      <c r="B247" t="s">
        <v>686</v>
      </c>
      <c r="C247" t="s">
        <v>540</v>
      </c>
    </row>
    <row r="248" spans="1:3" x14ac:dyDescent="0.25">
      <c r="A248" t="s">
        <v>537</v>
      </c>
      <c r="B248" t="s">
        <v>540</v>
      </c>
      <c r="C248" t="s">
        <v>616</v>
      </c>
    </row>
    <row r="249" spans="1:3" x14ac:dyDescent="0.25">
      <c r="A249" t="s">
        <v>535</v>
      </c>
      <c r="B249" t="s">
        <v>616</v>
      </c>
      <c r="C249" t="s">
        <v>687</v>
      </c>
    </row>
    <row r="250" spans="1:3" x14ac:dyDescent="0.25">
      <c r="A250" t="s">
        <v>679</v>
      </c>
      <c r="B250" t="s">
        <v>687</v>
      </c>
      <c r="C250" t="s">
        <v>618</v>
      </c>
    </row>
    <row r="251" spans="1:3" x14ac:dyDescent="0.25">
      <c r="A251" t="s">
        <v>512</v>
      </c>
      <c r="B251" t="s">
        <v>618</v>
      </c>
      <c r="C251" t="s">
        <v>688</v>
      </c>
    </row>
    <row r="252" spans="1:3" x14ac:dyDescent="0.25">
      <c r="A252" t="s">
        <v>680</v>
      </c>
      <c r="B252" t="s">
        <v>688</v>
      </c>
      <c r="C252" t="s">
        <v>689</v>
      </c>
    </row>
    <row r="253" spans="1:3" x14ac:dyDescent="0.25">
      <c r="A253" t="s">
        <v>681</v>
      </c>
      <c r="B253" t="s">
        <v>689</v>
      </c>
      <c r="C253" t="s">
        <v>690</v>
      </c>
    </row>
    <row r="254" spans="1:3" x14ac:dyDescent="0.25">
      <c r="A254" t="s">
        <v>682</v>
      </c>
      <c r="B254" t="s">
        <v>690</v>
      </c>
      <c r="C254" t="s">
        <v>691</v>
      </c>
    </row>
    <row r="255" spans="1:3" x14ac:dyDescent="0.25">
      <c r="A255" t="s">
        <v>683</v>
      </c>
      <c r="B255" t="s">
        <v>691</v>
      </c>
      <c r="C255" t="s">
        <v>542</v>
      </c>
    </row>
    <row r="256" spans="1:3" x14ac:dyDescent="0.25">
      <c r="A256" t="s">
        <v>684</v>
      </c>
      <c r="B256" t="s">
        <v>542</v>
      </c>
      <c r="C256" t="s">
        <v>619</v>
      </c>
    </row>
    <row r="257" spans="1:3" x14ac:dyDescent="0.25">
      <c r="A257" s="39" t="s">
        <v>692</v>
      </c>
      <c r="B257" t="s">
        <v>693</v>
      </c>
      <c r="C257" t="s">
        <v>620</v>
      </c>
    </row>
    <row r="258" spans="1:3" x14ac:dyDescent="0.25">
      <c r="A258" t="s">
        <v>685</v>
      </c>
      <c r="B258" t="s">
        <v>619</v>
      </c>
    </row>
    <row r="259" spans="1:3" x14ac:dyDescent="0.25">
      <c r="A259" t="s">
        <v>686</v>
      </c>
      <c r="B259" t="s">
        <v>620</v>
      </c>
    </row>
    <row r="260" spans="1:3" x14ac:dyDescent="0.25">
      <c r="A260" t="s">
        <v>540</v>
      </c>
    </row>
    <row r="261" spans="1:3" x14ac:dyDescent="0.25">
      <c r="A261" t="s">
        <v>616</v>
      </c>
    </row>
    <row r="262" spans="1:3" x14ac:dyDescent="0.25">
      <c r="A262" t="s">
        <v>687</v>
      </c>
    </row>
    <row r="263" spans="1:3" x14ac:dyDescent="0.25">
      <c r="A263" t="s">
        <v>618</v>
      </c>
    </row>
    <row r="264" spans="1:3" x14ac:dyDescent="0.25">
      <c r="A264" t="s">
        <v>688</v>
      </c>
    </row>
    <row r="265" spans="1:3" x14ac:dyDescent="0.25">
      <c r="A265" t="s">
        <v>689</v>
      </c>
    </row>
    <row r="266" spans="1:3" x14ac:dyDescent="0.25">
      <c r="A266" t="s">
        <v>690</v>
      </c>
    </row>
    <row r="267" spans="1:3" x14ac:dyDescent="0.25">
      <c r="A267" t="s">
        <v>691</v>
      </c>
    </row>
    <row r="268" spans="1:3" x14ac:dyDescent="0.25">
      <c r="A268" t="s">
        <v>542</v>
      </c>
    </row>
    <row r="269" spans="1:3" x14ac:dyDescent="0.25">
      <c r="A269" t="s">
        <v>619</v>
      </c>
    </row>
    <row r="270" spans="1:3" x14ac:dyDescent="0.25">
      <c r="A270" t="s">
        <v>620</v>
      </c>
    </row>
  </sheetData>
  <sheetProtection algorithmName="SHA-512" hashValue="9YpFCaAH5G4EZBD/puBZuOIsPn7J4LgHMDojt77Vo4GzKo8ZNCQoAnaChhK3lNJQPKe7qilC9J95GsmsoyiOTg==" saltValue="TCvssTOG6DminLIrXvxg/g==" spinCount="100000" sheet="1" objects="1" scenarios="1"/>
  <mergeCells count="1">
    <mergeCell ref="E2:T2"/>
  </mergeCells>
  <conditionalFormatting sqref="A4:A270">
    <cfRule type="duplicateValues" dxfId="88" priority="4"/>
  </conditionalFormatting>
  <conditionalFormatting sqref="K20">
    <cfRule type="duplicateValues" dxfId="87" priority="3"/>
  </conditionalFormatting>
  <conditionalFormatting sqref="B134">
    <cfRule type="duplicateValues" dxfId="86" priority="2"/>
  </conditionalFormatting>
  <conditionalFormatting sqref="C134">
    <cfRule type="duplicateValues" dxfId="85"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X611"/>
  <sheetViews>
    <sheetView tabSelected="1" view="pageLayout" zoomScale="90" zoomScaleNormal="90" zoomScalePageLayoutView="90" workbookViewId="0">
      <selection activeCell="F19" sqref="F19:J19"/>
    </sheetView>
  </sheetViews>
  <sheetFormatPr defaultColWidth="0" defaultRowHeight="15" zeroHeight="1" x14ac:dyDescent="0.25"/>
  <cols>
    <col min="1" max="3" width="9.28515625" style="40" customWidth="1"/>
    <col min="4" max="4" width="10.28515625" style="40" customWidth="1"/>
    <col min="5" max="8" width="9.28515625" style="40" customWidth="1"/>
    <col min="9" max="9" width="9.85546875" style="40" customWidth="1"/>
    <col min="10" max="10" width="10.140625" style="40" customWidth="1"/>
    <col min="11" max="20" width="9.28515625" style="40" customWidth="1"/>
    <col min="21" max="24" width="0" style="40" hidden="1" customWidth="1"/>
    <col min="25" max="16384" width="9.140625" style="40" hidden="1"/>
  </cols>
  <sheetData>
    <row r="1" spans="1:20" ht="18" x14ac:dyDescent="0.25">
      <c r="A1" s="547" t="s">
        <v>1035</v>
      </c>
      <c r="B1" s="547"/>
      <c r="C1" s="547"/>
      <c r="D1" s="548" t="s">
        <v>1036</v>
      </c>
      <c r="E1" s="548"/>
      <c r="F1" s="548"/>
      <c r="G1" s="548"/>
      <c r="H1" s="548"/>
      <c r="I1" s="548"/>
      <c r="J1" s="548"/>
      <c r="K1" s="269"/>
      <c r="L1" s="269"/>
      <c r="M1" s="269"/>
      <c r="N1" s="269"/>
      <c r="O1" s="269"/>
      <c r="P1" s="269"/>
      <c r="Q1" s="269"/>
      <c r="R1" s="269"/>
      <c r="S1" s="269"/>
      <c r="T1" s="269"/>
    </row>
    <row r="2" spans="1:20" s="269" customFormat="1" ht="9.9499999999999993" customHeight="1" x14ac:dyDescent="0.25">
      <c r="A2" s="309"/>
      <c r="B2" s="309"/>
      <c r="C2" s="309"/>
      <c r="D2" s="309"/>
      <c r="E2" s="309"/>
      <c r="F2" s="309"/>
      <c r="G2" s="309"/>
      <c r="H2" s="309"/>
      <c r="I2" s="309"/>
      <c r="J2" s="309"/>
    </row>
    <row r="3" spans="1:20" s="269" customFormat="1" ht="18" x14ac:dyDescent="0.25">
      <c r="A3" s="549" t="s">
        <v>1047</v>
      </c>
      <c r="B3" s="549"/>
      <c r="C3" s="549"/>
      <c r="D3" s="549"/>
      <c r="E3" s="527" t="s">
        <v>1038</v>
      </c>
      <c r="F3" s="527"/>
      <c r="G3" s="527"/>
      <c r="H3" s="527"/>
      <c r="I3" s="309"/>
      <c r="J3" s="309"/>
    </row>
    <row r="4" spans="1:20" s="269" customFormat="1" ht="9.9499999999999993" customHeight="1" x14ac:dyDescent="0.25">
      <c r="A4" s="309"/>
      <c r="B4" s="309"/>
      <c r="C4" s="309"/>
      <c r="D4" s="309"/>
      <c r="E4" s="309"/>
      <c r="F4" s="309"/>
      <c r="G4" s="309"/>
      <c r="H4" s="309"/>
      <c r="I4" s="309"/>
      <c r="J4" s="309"/>
    </row>
    <row r="5" spans="1:20" s="374" customFormat="1" ht="20.100000000000001" customHeight="1" x14ac:dyDescent="0.25">
      <c r="A5" s="187"/>
      <c r="B5" s="553" t="s">
        <v>1144</v>
      </c>
      <c r="C5" s="554"/>
      <c r="D5" s="554"/>
      <c r="E5" s="554"/>
      <c r="F5" s="554"/>
      <c r="G5" s="551" t="s">
        <v>1037</v>
      </c>
      <c r="H5" s="551"/>
      <c r="I5" s="552"/>
      <c r="J5" s="187"/>
    </row>
    <row r="6" spans="1:20" s="269" customFormat="1" ht="20.100000000000001" customHeight="1" x14ac:dyDescent="0.25">
      <c r="A6" s="309"/>
      <c r="B6" s="376" t="s">
        <v>1042</v>
      </c>
      <c r="C6" s="377"/>
      <c r="D6" s="377"/>
      <c r="E6" s="550" t="s">
        <v>1043</v>
      </c>
      <c r="F6" s="550"/>
      <c r="G6" s="550"/>
      <c r="H6" s="550"/>
      <c r="I6" s="378"/>
      <c r="J6" s="309"/>
    </row>
    <row r="7" spans="1:20" s="269" customFormat="1" ht="20.100000000000001" customHeight="1" x14ac:dyDescent="0.25">
      <c r="A7" s="309"/>
      <c r="B7" s="555" t="s">
        <v>1145</v>
      </c>
      <c r="C7" s="556"/>
      <c r="D7" s="556"/>
      <c r="E7" s="556"/>
      <c r="F7" s="556"/>
      <c r="G7" s="556"/>
      <c r="H7" s="556"/>
      <c r="I7" s="557"/>
      <c r="J7" s="309"/>
    </row>
    <row r="8" spans="1:20" s="269" customFormat="1" ht="20.100000000000001" customHeight="1" x14ac:dyDescent="0.25">
      <c r="A8" s="309"/>
      <c r="B8" s="376" t="s">
        <v>1128</v>
      </c>
      <c r="C8" s="379"/>
      <c r="D8" s="379"/>
      <c r="E8" s="379"/>
      <c r="F8" s="379"/>
      <c r="G8" s="379"/>
      <c r="H8" s="379"/>
      <c r="I8" s="378"/>
      <c r="J8" s="309"/>
    </row>
    <row r="9" spans="1:20" s="269" customFormat="1" ht="17.25" customHeight="1" x14ac:dyDescent="0.25">
      <c r="A9" s="309"/>
      <c r="B9" s="528" t="s">
        <v>1129</v>
      </c>
      <c r="C9" s="529"/>
      <c r="D9" s="516" t="s">
        <v>1039</v>
      </c>
      <c r="E9" s="516"/>
      <c r="F9" s="516"/>
      <c r="G9" s="388" t="s">
        <v>1044</v>
      </c>
      <c r="H9" s="51"/>
      <c r="I9" s="380"/>
      <c r="J9" s="309"/>
    </row>
    <row r="10" spans="1:20" s="269" customFormat="1" ht="20.100000000000001" customHeight="1" x14ac:dyDescent="0.25">
      <c r="A10" s="309"/>
      <c r="B10" s="381"/>
      <c r="C10" s="382" t="s">
        <v>1040</v>
      </c>
      <c r="D10" s="45"/>
      <c r="E10" s="45"/>
      <c r="F10" s="45"/>
      <c r="G10" s="45"/>
      <c r="H10" s="45"/>
      <c r="I10" s="380"/>
      <c r="J10" s="309"/>
    </row>
    <row r="11" spans="1:20" s="269" customFormat="1" x14ac:dyDescent="0.25">
      <c r="A11" s="309"/>
      <c r="B11" s="381"/>
      <c r="C11" s="387" t="s">
        <v>1103</v>
      </c>
      <c r="D11" s="45"/>
      <c r="E11" s="45"/>
      <c r="F11" s="45"/>
      <c r="G11" s="45"/>
      <c r="H11" s="45"/>
      <c r="I11" s="380"/>
      <c r="J11" s="309"/>
    </row>
    <row r="12" spans="1:20" s="269" customFormat="1" x14ac:dyDescent="0.25">
      <c r="A12" s="309"/>
      <c r="B12" s="381"/>
      <c r="C12" s="387" t="s">
        <v>1041</v>
      </c>
      <c r="D12" s="45"/>
      <c r="E12" s="45"/>
      <c r="F12" s="45"/>
      <c r="G12" s="45"/>
      <c r="H12" s="45"/>
      <c r="I12" s="380"/>
      <c r="J12" s="309"/>
    </row>
    <row r="13" spans="1:20" s="269" customFormat="1" x14ac:dyDescent="0.25">
      <c r="A13" s="309"/>
      <c r="B13" s="381"/>
      <c r="C13" s="382" t="s">
        <v>1130</v>
      </c>
      <c r="D13" s="45"/>
      <c r="E13" s="45"/>
      <c r="F13" s="45"/>
      <c r="G13" s="45"/>
      <c r="H13" s="45"/>
      <c r="I13" s="380"/>
      <c r="J13" s="309"/>
    </row>
    <row r="14" spans="1:20" s="269" customFormat="1" x14ac:dyDescent="0.25">
      <c r="A14" s="309"/>
      <c r="B14" s="381"/>
      <c r="C14" s="51" t="s">
        <v>1055</v>
      </c>
      <c r="D14" s="45"/>
      <c r="E14" s="45"/>
      <c r="F14" s="45"/>
      <c r="G14" s="45"/>
      <c r="H14" s="45"/>
      <c r="I14" s="380"/>
      <c r="J14" s="309"/>
    </row>
    <row r="15" spans="1:20" s="300" customFormat="1" ht="20.100000000000001" customHeight="1" x14ac:dyDescent="0.25">
      <c r="A15" s="153"/>
      <c r="B15" s="383"/>
      <c r="C15" s="384" t="s">
        <v>1045</v>
      </c>
      <c r="D15" s="385"/>
      <c r="E15" s="385"/>
      <c r="F15" s="385"/>
      <c r="G15" s="385"/>
      <c r="H15" s="385"/>
      <c r="I15" s="386"/>
      <c r="J15" s="153"/>
      <c r="L15" s="438"/>
    </row>
    <row r="16" spans="1:20" s="269" customFormat="1" x14ac:dyDescent="0.25">
      <c r="A16" s="309"/>
      <c r="B16" s="309"/>
      <c r="C16" s="375"/>
      <c r="D16" s="309"/>
      <c r="E16" s="309"/>
      <c r="F16" s="309"/>
      <c r="G16" s="309"/>
      <c r="H16" s="309"/>
      <c r="I16" s="309"/>
      <c r="J16" s="309"/>
      <c r="L16" s="439" t="s">
        <v>1141</v>
      </c>
    </row>
    <row r="17" spans="1:19" s="269" customFormat="1" x14ac:dyDescent="0.25">
      <c r="A17" s="429" t="s">
        <v>1138</v>
      </c>
      <c r="B17" s="309"/>
      <c r="C17" s="375"/>
      <c r="D17" s="309"/>
      <c r="E17" s="309"/>
      <c r="F17" s="309"/>
      <c r="G17" s="309"/>
      <c r="H17" s="309"/>
      <c r="I17" s="309"/>
      <c r="J17" s="309"/>
      <c r="L17" s="507"/>
      <c r="M17" s="508"/>
      <c r="N17" s="508"/>
      <c r="O17" s="508"/>
      <c r="P17" s="508"/>
      <c r="Q17" s="508"/>
      <c r="R17" s="508"/>
      <c r="S17" s="509"/>
    </row>
    <row r="18" spans="1:19" s="269" customFormat="1" ht="15.75" thickBot="1" x14ac:dyDescent="0.3">
      <c r="A18" s="309"/>
      <c r="B18" s="309"/>
      <c r="C18" s="375"/>
      <c r="D18" s="309"/>
      <c r="E18" s="309"/>
      <c r="F18" s="309"/>
      <c r="G18" s="309"/>
      <c r="H18" s="309"/>
      <c r="I18" s="309"/>
      <c r="J18" s="309"/>
      <c r="L18" s="510"/>
      <c r="M18" s="511"/>
      <c r="N18" s="511"/>
      <c r="O18" s="511"/>
      <c r="P18" s="511"/>
      <c r="Q18" s="511"/>
      <c r="R18" s="511"/>
      <c r="S18" s="512"/>
    </row>
    <row r="19" spans="1:19" s="269" customFormat="1" ht="15.75" thickBot="1" x14ac:dyDescent="0.3">
      <c r="A19" s="309" t="s">
        <v>1132</v>
      </c>
      <c r="B19" s="309"/>
      <c r="C19" s="375"/>
      <c r="D19" s="309"/>
      <c r="E19" s="309"/>
      <c r="F19" s="517"/>
      <c r="G19" s="518"/>
      <c r="H19" s="518"/>
      <c r="I19" s="518"/>
      <c r="J19" s="519"/>
      <c r="L19" s="510"/>
      <c r="M19" s="511"/>
      <c r="N19" s="511"/>
      <c r="O19" s="511"/>
      <c r="P19" s="511"/>
      <c r="Q19" s="511"/>
      <c r="R19" s="511"/>
      <c r="S19" s="512"/>
    </row>
    <row r="20" spans="1:19" s="269" customFormat="1" ht="15.75" thickBot="1" x14ac:dyDescent="0.3">
      <c r="A20" s="309" t="s">
        <v>1134</v>
      </c>
      <c r="B20" s="309"/>
      <c r="C20" s="375"/>
      <c r="D20" s="309"/>
      <c r="E20" s="309"/>
      <c r="F20" s="520"/>
      <c r="G20" s="521"/>
      <c r="H20" s="521"/>
      <c r="I20" s="521"/>
      <c r="J20" s="522"/>
      <c r="L20" s="510"/>
      <c r="M20" s="511"/>
      <c r="N20" s="511"/>
      <c r="O20" s="511"/>
      <c r="P20" s="511"/>
      <c r="Q20" s="511"/>
      <c r="R20" s="511"/>
      <c r="S20" s="512"/>
    </row>
    <row r="21" spans="1:19" s="269" customFormat="1" ht="15.75" thickBot="1" x14ac:dyDescent="0.3">
      <c r="A21" s="309"/>
      <c r="B21" s="309"/>
      <c r="C21" s="375"/>
      <c r="D21" s="309"/>
      <c r="E21" s="309"/>
      <c r="F21" s="309"/>
      <c r="G21" s="309"/>
      <c r="H21" s="309"/>
      <c r="I21" s="309"/>
      <c r="J21" s="309"/>
      <c r="L21" s="510"/>
      <c r="M21" s="511"/>
      <c r="N21" s="511"/>
      <c r="O21" s="511"/>
      <c r="P21" s="511"/>
      <c r="Q21" s="511"/>
      <c r="R21" s="511"/>
      <c r="S21" s="512"/>
    </row>
    <row r="22" spans="1:19" s="269" customFormat="1" ht="15.75" thickBot="1" x14ac:dyDescent="0.3">
      <c r="A22" s="309" t="s">
        <v>1133</v>
      </c>
      <c r="B22" s="309"/>
      <c r="C22" s="375"/>
      <c r="D22" s="309"/>
      <c r="E22" s="517"/>
      <c r="F22" s="518"/>
      <c r="G22" s="518"/>
      <c r="H22" s="518"/>
      <c r="I22" s="518"/>
      <c r="J22" s="519"/>
      <c r="L22" s="510"/>
      <c r="M22" s="511"/>
      <c r="N22" s="511"/>
      <c r="O22" s="511"/>
      <c r="P22" s="511"/>
      <c r="Q22" s="511"/>
      <c r="R22" s="511"/>
      <c r="S22" s="512"/>
    </row>
    <row r="23" spans="1:19" s="269" customFormat="1" ht="15.75" thickBot="1" x14ac:dyDescent="0.3">
      <c r="A23" s="309" t="s">
        <v>1135</v>
      </c>
      <c r="B23" s="309"/>
      <c r="C23" s="375"/>
      <c r="D23" s="309"/>
      <c r="E23" s="309"/>
      <c r="F23" s="517"/>
      <c r="G23" s="518"/>
      <c r="H23" s="518"/>
      <c r="I23" s="518"/>
      <c r="J23" s="519"/>
      <c r="L23" s="510"/>
      <c r="M23" s="511"/>
      <c r="N23" s="511"/>
      <c r="O23" s="511"/>
      <c r="P23" s="511"/>
      <c r="Q23" s="511"/>
      <c r="R23" s="511"/>
      <c r="S23" s="512"/>
    </row>
    <row r="24" spans="1:19" s="269" customFormat="1" ht="15.75" thickBot="1" x14ac:dyDescent="0.3">
      <c r="A24" s="309" t="s">
        <v>1136</v>
      </c>
      <c r="B24" s="309"/>
      <c r="C24" s="375"/>
      <c r="D24" s="309"/>
      <c r="E24" s="309"/>
      <c r="F24" s="523"/>
      <c r="G24" s="524"/>
      <c r="H24" s="524"/>
      <c r="I24" s="524"/>
      <c r="J24" s="525"/>
      <c r="L24" s="510"/>
      <c r="M24" s="511"/>
      <c r="N24" s="511"/>
      <c r="O24" s="511"/>
      <c r="P24" s="511"/>
      <c r="Q24" s="511"/>
      <c r="R24" s="511"/>
      <c r="S24" s="512"/>
    </row>
    <row r="25" spans="1:19" s="269" customFormat="1" ht="15.75" thickBot="1" x14ac:dyDescent="0.3">
      <c r="A25" s="309"/>
      <c r="B25" s="309"/>
      <c r="C25" s="375"/>
      <c r="D25" s="309"/>
      <c r="E25" s="309"/>
      <c r="F25" s="309"/>
      <c r="G25" s="309"/>
      <c r="H25" s="309"/>
      <c r="I25" s="309"/>
      <c r="J25" s="309"/>
      <c r="L25" s="510"/>
      <c r="M25" s="511"/>
      <c r="N25" s="511"/>
      <c r="O25" s="511"/>
      <c r="P25" s="511"/>
      <c r="Q25" s="511"/>
      <c r="R25" s="511"/>
      <c r="S25" s="512"/>
    </row>
    <row r="26" spans="1:19" s="269" customFormat="1" ht="15.75" thickBot="1" x14ac:dyDescent="0.3">
      <c r="A26" s="309" t="s">
        <v>1131</v>
      </c>
      <c r="B26" s="309"/>
      <c r="C26" s="375"/>
      <c r="D26" s="309"/>
      <c r="E26" s="309"/>
      <c r="F26" s="309"/>
      <c r="G26" s="530" t="s">
        <v>379</v>
      </c>
      <c r="H26" s="518"/>
      <c r="I26" s="519"/>
      <c r="J26" s="309"/>
      <c r="L26" s="510"/>
      <c r="M26" s="511"/>
      <c r="N26" s="511"/>
      <c r="O26" s="511"/>
      <c r="P26" s="511"/>
      <c r="Q26" s="511"/>
      <c r="R26" s="511"/>
      <c r="S26" s="512"/>
    </row>
    <row r="27" spans="1:19" s="269" customFormat="1" ht="15.75" thickBot="1" x14ac:dyDescent="0.3">
      <c r="A27" s="309" t="s">
        <v>1137</v>
      </c>
      <c r="B27" s="309"/>
      <c r="C27" s="375"/>
      <c r="D27" s="309"/>
      <c r="E27" s="309"/>
      <c r="F27" s="309"/>
      <c r="G27" s="530" t="s">
        <v>379</v>
      </c>
      <c r="H27" s="518"/>
      <c r="I27" s="519"/>
      <c r="J27" s="309"/>
      <c r="L27" s="510"/>
      <c r="M27" s="511"/>
      <c r="N27" s="511"/>
      <c r="O27" s="511"/>
      <c r="P27" s="511"/>
      <c r="Q27" s="511"/>
      <c r="R27" s="511"/>
      <c r="S27" s="512"/>
    </row>
    <row r="28" spans="1:19" s="269" customFormat="1" ht="15.75" thickBot="1" x14ac:dyDescent="0.3">
      <c r="A28" s="309" t="s">
        <v>1142</v>
      </c>
      <c r="B28" s="309"/>
      <c r="C28" s="375"/>
      <c r="D28" s="309"/>
      <c r="E28" s="309"/>
      <c r="F28" s="309"/>
      <c r="G28" s="523"/>
      <c r="H28" s="524"/>
      <c r="I28" s="525"/>
      <c r="J28" s="309"/>
      <c r="L28" s="510"/>
      <c r="M28" s="511"/>
      <c r="N28" s="511"/>
      <c r="O28" s="511"/>
      <c r="P28" s="511"/>
      <c r="Q28" s="511"/>
      <c r="R28" s="511"/>
      <c r="S28" s="512"/>
    </row>
    <row r="29" spans="1:19" s="269" customFormat="1" ht="15.75" thickBot="1" x14ac:dyDescent="0.3">
      <c r="A29" s="309" t="s">
        <v>1143</v>
      </c>
      <c r="B29" s="309"/>
      <c r="C29" s="375"/>
      <c r="D29" s="309"/>
      <c r="E29" s="309"/>
      <c r="F29" s="309"/>
      <c r="G29" s="523"/>
      <c r="H29" s="524"/>
      <c r="I29" s="525"/>
      <c r="J29" s="309"/>
      <c r="L29" s="510"/>
      <c r="M29" s="511"/>
      <c r="N29" s="511"/>
      <c r="O29" s="511"/>
      <c r="P29" s="511"/>
      <c r="Q29" s="511"/>
      <c r="R29" s="511"/>
      <c r="S29" s="512"/>
    </row>
    <row r="30" spans="1:19" s="269" customFormat="1" x14ac:dyDescent="0.25">
      <c r="A30" s="309" t="s">
        <v>1139</v>
      </c>
      <c r="B30" s="309"/>
      <c r="C30" s="375"/>
      <c r="D30" s="309"/>
      <c r="E30" s="309"/>
      <c r="F30" s="309"/>
      <c r="G30" s="309"/>
      <c r="H30" s="309"/>
      <c r="I30" s="309"/>
      <c r="J30" s="309"/>
      <c r="L30" s="510"/>
      <c r="M30" s="511"/>
      <c r="N30" s="511"/>
      <c r="O30" s="511"/>
      <c r="P30" s="511"/>
      <c r="Q30" s="511"/>
      <c r="R30" s="511"/>
      <c r="S30" s="512"/>
    </row>
    <row r="31" spans="1:19" s="269" customFormat="1" x14ac:dyDescent="0.25">
      <c r="A31" s="531"/>
      <c r="B31" s="532"/>
      <c r="C31" s="532"/>
      <c r="D31" s="532"/>
      <c r="E31" s="532"/>
      <c r="F31" s="532"/>
      <c r="G31" s="532"/>
      <c r="H31" s="532"/>
      <c r="I31" s="532"/>
      <c r="J31" s="533"/>
      <c r="L31" s="510"/>
      <c r="M31" s="511"/>
      <c r="N31" s="511"/>
      <c r="O31" s="511"/>
      <c r="P31" s="511"/>
      <c r="Q31" s="511"/>
      <c r="R31" s="511"/>
      <c r="S31" s="512"/>
    </row>
    <row r="32" spans="1:19" s="269" customFormat="1" x14ac:dyDescent="0.25">
      <c r="A32" s="534"/>
      <c r="B32" s="535"/>
      <c r="C32" s="535"/>
      <c r="D32" s="535"/>
      <c r="E32" s="535"/>
      <c r="F32" s="535"/>
      <c r="G32" s="535"/>
      <c r="H32" s="535"/>
      <c r="I32" s="535"/>
      <c r="J32" s="536"/>
      <c r="L32" s="510"/>
      <c r="M32" s="511"/>
      <c r="N32" s="511"/>
      <c r="O32" s="511"/>
      <c r="P32" s="511"/>
      <c r="Q32" s="511"/>
      <c r="R32" s="511"/>
      <c r="S32" s="512"/>
    </row>
    <row r="33" spans="1:19" s="269" customFormat="1" x14ac:dyDescent="0.25">
      <c r="A33" s="537"/>
      <c r="B33" s="538"/>
      <c r="C33" s="538"/>
      <c r="D33" s="538"/>
      <c r="E33" s="538"/>
      <c r="F33" s="538"/>
      <c r="G33" s="538"/>
      <c r="H33" s="538"/>
      <c r="I33" s="538"/>
      <c r="J33" s="539"/>
      <c r="L33" s="513"/>
      <c r="M33" s="514"/>
      <c r="N33" s="514"/>
      <c r="O33" s="514"/>
      <c r="P33" s="514"/>
      <c r="Q33" s="514"/>
      <c r="R33" s="514"/>
      <c r="S33" s="515"/>
    </row>
    <row r="34" spans="1:19" s="269" customFormat="1" ht="18.600000000000001" customHeight="1" thickBot="1" x14ac:dyDescent="0.3">
      <c r="A34" s="309"/>
      <c r="B34" s="309"/>
      <c r="C34" s="375"/>
      <c r="D34" s="309"/>
      <c r="E34" s="309"/>
      <c r="F34" s="309"/>
      <c r="G34" s="309"/>
      <c r="H34" s="309"/>
      <c r="I34" s="309"/>
      <c r="J34" s="309"/>
    </row>
    <row r="35" spans="1:19" s="269" customFormat="1" ht="18.600000000000001" customHeight="1" thickTop="1" x14ac:dyDescent="0.25">
      <c r="A35" s="430" t="s">
        <v>1052</v>
      </c>
      <c r="B35" s="430"/>
      <c r="C35" s="431"/>
      <c r="D35" s="430"/>
      <c r="E35" s="430"/>
      <c r="F35" s="430"/>
      <c r="G35" s="430"/>
      <c r="H35" s="430"/>
      <c r="I35" s="430"/>
      <c r="J35" s="430"/>
    </row>
    <row r="36" spans="1:19" s="269" customFormat="1" ht="18" x14ac:dyDescent="0.25">
      <c r="A36" s="543" t="s">
        <v>1046</v>
      </c>
      <c r="B36" s="543"/>
      <c r="C36" s="543"/>
      <c r="D36" s="309"/>
      <c r="E36" s="309"/>
      <c r="F36" s="309"/>
      <c r="G36" s="309"/>
      <c r="H36" s="309"/>
      <c r="I36" s="309"/>
      <c r="J36" s="309"/>
    </row>
    <row r="37" spans="1:19" s="269" customFormat="1" ht="9.9499999999999993" customHeight="1" x14ac:dyDescent="0.25">
      <c r="A37" s="309"/>
      <c r="B37" s="309"/>
      <c r="C37" s="375"/>
      <c r="D37" s="309"/>
      <c r="E37" s="309"/>
      <c r="F37" s="309"/>
      <c r="G37" s="309"/>
      <c r="H37" s="309"/>
      <c r="I37" s="309"/>
      <c r="J37" s="309"/>
    </row>
    <row r="38" spans="1:19" s="269" customFormat="1" x14ac:dyDescent="0.25">
      <c r="A38" s="309"/>
      <c r="B38" s="373" t="s">
        <v>1050</v>
      </c>
      <c r="C38" s="375"/>
      <c r="D38" s="309"/>
      <c r="E38" s="309"/>
      <c r="F38" s="309"/>
      <c r="G38" s="309"/>
      <c r="H38" s="309"/>
      <c r="I38" s="309"/>
      <c r="J38" s="309"/>
    </row>
    <row r="39" spans="1:19" s="269" customFormat="1" x14ac:dyDescent="0.25">
      <c r="A39" s="309"/>
      <c r="B39" s="373" t="s">
        <v>1048</v>
      </c>
      <c r="C39" s="375"/>
      <c r="D39" s="309"/>
      <c r="E39" s="309"/>
      <c r="F39" s="309"/>
      <c r="G39" s="309"/>
      <c r="H39" s="309"/>
      <c r="I39" s="309"/>
      <c r="J39" s="309"/>
    </row>
    <row r="40" spans="1:19" s="269" customFormat="1" x14ac:dyDescent="0.25">
      <c r="A40" s="309"/>
      <c r="B40" s="373" t="s">
        <v>1051</v>
      </c>
      <c r="C40" s="375"/>
      <c r="D40" s="309"/>
      <c r="E40" s="309"/>
      <c r="F40" s="309"/>
      <c r="G40" s="309"/>
      <c r="H40" s="309"/>
      <c r="I40" s="309"/>
      <c r="J40" s="309"/>
    </row>
    <row r="41" spans="1:19" s="269" customFormat="1" x14ac:dyDescent="0.25">
      <c r="A41" s="309"/>
      <c r="B41" s="373" t="s">
        <v>1049</v>
      </c>
      <c r="C41" s="375"/>
      <c r="D41" s="309"/>
      <c r="E41" s="309"/>
      <c r="F41" s="309"/>
      <c r="G41" s="309"/>
      <c r="H41" s="309"/>
      <c r="I41" s="309"/>
      <c r="J41" s="309"/>
    </row>
    <row r="42" spans="1:19" s="269" customFormat="1" x14ac:dyDescent="0.25">
      <c r="A42" s="309"/>
      <c r="B42" s="373"/>
      <c r="C42" s="375"/>
      <c r="D42" s="309"/>
      <c r="E42" s="309"/>
      <c r="F42" s="309"/>
      <c r="G42" s="309"/>
      <c r="H42" s="309"/>
      <c r="I42" s="309"/>
      <c r="J42" s="309"/>
    </row>
    <row r="43" spans="1:19" s="269" customFormat="1" x14ac:dyDescent="0.25">
      <c r="A43" s="544" t="s">
        <v>1054</v>
      </c>
      <c r="B43" s="544"/>
      <c r="C43" s="544"/>
      <c r="D43" s="544"/>
      <c r="E43" s="544"/>
      <c r="F43" s="544"/>
      <c r="G43" s="545" t="s">
        <v>1053</v>
      </c>
      <c r="H43" s="545"/>
      <c r="I43" s="545"/>
      <c r="J43" s="545"/>
    </row>
    <row r="44" spans="1:19" s="269" customFormat="1" x14ac:dyDescent="0.25">
      <c r="A44" s="392"/>
      <c r="B44" s="392"/>
      <c r="C44" s="392"/>
      <c r="D44" s="392"/>
      <c r="E44" s="392"/>
      <c r="F44" s="392"/>
      <c r="G44" s="393"/>
      <c r="H44" s="393"/>
      <c r="I44" s="393"/>
      <c r="J44" s="393"/>
    </row>
    <row r="45" spans="1:19" s="269" customFormat="1" ht="30.75" customHeight="1" x14ac:dyDescent="0.25">
      <c r="A45" s="546" t="s">
        <v>1126</v>
      </c>
      <c r="B45" s="546"/>
      <c r="C45" s="546"/>
      <c r="D45" s="546"/>
      <c r="E45" s="546"/>
      <c r="F45" s="546"/>
      <c r="G45" s="546"/>
      <c r="H45" s="546"/>
      <c r="I45" s="546"/>
      <c r="J45" s="546"/>
    </row>
    <row r="46" spans="1:19" s="269" customFormat="1" ht="16.5" customHeight="1" thickBot="1" x14ac:dyDescent="0.3">
      <c r="A46" s="371"/>
      <c r="B46" s="371"/>
      <c r="C46" s="371"/>
      <c r="D46" s="371"/>
      <c r="E46" s="371"/>
      <c r="F46" s="371"/>
      <c r="G46" s="371"/>
      <c r="H46" s="389"/>
      <c r="I46" s="389"/>
      <c r="J46" s="389"/>
    </row>
    <row r="47" spans="1:19" s="269" customFormat="1" ht="18.600000000000001" customHeight="1" thickTop="1" x14ac:dyDescent="0.25">
      <c r="A47" s="432" t="s">
        <v>1086</v>
      </c>
      <c r="B47" s="433"/>
      <c r="C47" s="434"/>
      <c r="D47" s="435"/>
      <c r="E47" s="435"/>
      <c r="F47" s="436"/>
      <c r="G47" s="437"/>
      <c r="H47" s="432"/>
      <c r="I47" s="432"/>
      <c r="J47" s="435"/>
    </row>
    <row r="48" spans="1:19" s="269" customFormat="1" ht="18" customHeight="1" x14ac:dyDescent="0.25">
      <c r="A48" s="526" t="s">
        <v>1084</v>
      </c>
      <c r="B48" s="526"/>
      <c r="C48" s="526"/>
      <c r="D48" s="526"/>
      <c r="E48" s="526"/>
      <c r="F48" s="527" t="s">
        <v>1083</v>
      </c>
      <c r="G48" s="527"/>
      <c r="H48" s="527"/>
      <c r="I48" s="527"/>
      <c r="J48" s="527"/>
    </row>
    <row r="49" spans="1:20" s="269" customFormat="1" ht="12.75" customHeight="1" x14ac:dyDescent="0.25">
      <c r="A49" s="390"/>
      <c r="B49" s="372"/>
      <c r="C49" s="195"/>
      <c r="D49" s="44"/>
      <c r="E49" s="44"/>
      <c r="F49" s="400"/>
      <c r="G49" s="391"/>
      <c r="H49" s="390"/>
      <c r="I49" s="390"/>
      <c r="J49" s="44"/>
    </row>
    <row r="50" spans="1:20" s="269" customFormat="1" ht="18" customHeight="1" x14ac:dyDescent="0.25">
      <c r="A50" s="540" t="s">
        <v>1087</v>
      </c>
      <c r="B50" s="540"/>
      <c r="C50" s="540"/>
      <c r="D50" s="540"/>
      <c r="E50" s="540"/>
      <c r="F50" s="540"/>
      <c r="G50" s="540"/>
      <c r="H50" s="540"/>
      <c r="I50" s="540"/>
      <c r="J50" s="540"/>
    </row>
    <row r="51" spans="1:20" s="269" customFormat="1" ht="18" customHeight="1" x14ac:dyDescent="0.25">
      <c r="A51" s="540"/>
      <c r="B51" s="540"/>
      <c r="C51" s="540"/>
      <c r="D51" s="540"/>
      <c r="E51" s="540"/>
      <c r="F51" s="540"/>
      <c r="G51" s="540"/>
      <c r="H51" s="540"/>
      <c r="I51" s="540"/>
      <c r="J51" s="540"/>
    </row>
    <row r="52" spans="1:20" s="269" customFormat="1" ht="22.5" customHeight="1" x14ac:dyDescent="0.25">
      <c r="A52" s="540"/>
      <c r="B52" s="540"/>
      <c r="C52" s="540"/>
      <c r="D52" s="540"/>
      <c r="E52" s="540"/>
      <c r="F52" s="540"/>
      <c r="G52" s="540"/>
      <c r="H52" s="540"/>
      <c r="I52" s="540"/>
      <c r="J52" s="540"/>
    </row>
    <row r="53" spans="1:20" s="269" customFormat="1" ht="18" customHeight="1" x14ac:dyDescent="0.25">
      <c r="A53" s="541" t="s">
        <v>1085</v>
      </c>
      <c r="B53" s="541"/>
      <c r="C53" s="541"/>
      <c r="D53" s="541"/>
      <c r="E53" s="541"/>
      <c r="F53" s="541"/>
      <c r="G53" s="541"/>
      <c r="H53" s="541"/>
      <c r="I53" s="541"/>
      <c r="J53" s="541"/>
    </row>
    <row r="54" spans="1:20" s="269" customFormat="1" ht="18" customHeight="1" x14ac:dyDescent="0.25">
      <c r="A54" s="541"/>
      <c r="B54" s="541"/>
      <c r="C54" s="541"/>
      <c r="D54" s="541"/>
      <c r="E54" s="541"/>
      <c r="F54" s="541"/>
      <c r="G54" s="541"/>
      <c r="H54" s="541"/>
      <c r="I54" s="541"/>
      <c r="J54" s="541"/>
    </row>
    <row r="55" spans="1:20" s="269" customFormat="1" ht="32.25" customHeight="1" x14ac:dyDescent="0.25">
      <c r="A55" s="546" t="s">
        <v>1127</v>
      </c>
      <c r="B55" s="546"/>
      <c r="C55" s="546"/>
      <c r="D55" s="546"/>
      <c r="E55" s="546"/>
      <c r="F55" s="546"/>
      <c r="G55" s="546"/>
      <c r="H55" s="546"/>
      <c r="I55" s="546"/>
      <c r="J55" s="546"/>
    </row>
    <row r="56" spans="1:20" s="269" customFormat="1" ht="9.1999999999999993" customHeight="1" thickBot="1" x14ac:dyDescent="0.3">
      <c r="A56" s="371"/>
      <c r="B56" s="371"/>
      <c r="C56" s="371"/>
      <c r="D56" s="371"/>
      <c r="E56" s="371"/>
      <c r="F56" s="371"/>
      <c r="G56" s="371"/>
      <c r="H56" s="389"/>
      <c r="I56" s="389"/>
      <c r="J56" s="389"/>
    </row>
    <row r="57" spans="1:20" s="269" customFormat="1" ht="18" customHeight="1" thickTop="1" x14ac:dyDescent="0.25">
      <c r="A57" s="542" t="s">
        <v>1140</v>
      </c>
      <c r="B57" s="542"/>
      <c r="C57" s="542"/>
      <c r="D57" s="542"/>
      <c r="E57" s="542"/>
      <c r="F57" s="542"/>
      <c r="G57" s="542"/>
      <c r="H57" s="542"/>
      <c r="I57" s="542"/>
      <c r="J57" s="542"/>
    </row>
    <row r="58" spans="1:20" s="269" customFormat="1" x14ac:dyDescent="0.25">
      <c r="A58" s="402"/>
      <c r="B58" s="402"/>
      <c r="C58" s="402"/>
      <c r="D58" s="402"/>
      <c r="E58" s="402"/>
      <c r="F58" s="402"/>
      <c r="G58" s="402"/>
      <c r="H58" s="402"/>
      <c r="I58" s="402"/>
      <c r="J58" s="402"/>
    </row>
    <row r="59" spans="1:20" s="269" customFormat="1" ht="15.75" x14ac:dyDescent="0.25">
      <c r="A59" s="765" t="s">
        <v>905</v>
      </c>
      <c r="B59" s="765"/>
      <c r="C59" s="765"/>
      <c r="D59" s="765"/>
      <c r="E59" s="765"/>
      <c r="F59" s="765"/>
      <c r="G59" s="765"/>
      <c r="H59" s="765"/>
      <c r="I59" s="765"/>
      <c r="J59" s="765"/>
      <c r="K59" s="41"/>
      <c r="L59" s="41"/>
      <c r="M59" s="41"/>
      <c r="N59" s="41"/>
      <c r="O59" s="41"/>
      <c r="P59" s="41"/>
      <c r="Q59" s="41"/>
      <c r="R59" s="41"/>
      <c r="S59" s="41"/>
      <c r="T59" s="41"/>
    </row>
    <row r="60" spans="1:20" ht="15.75" x14ac:dyDescent="0.25">
      <c r="A60" s="63"/>
      <c r="B60" s="63"/>
      <c r="C60" s="63"/>
      <c r="D60" s="63"/>
      <c r="E60" s="63"/>
      <c r="F60" s="63"/>
      <c r="G60" s="63"/>
      <c r="H60" s="63"/>
      <c r="I60" s="63"/>
      <c r="J60" s="63"/>
      <c r="K60" s="41"/>
      <c r="L60" s="740" t="s">
        <v>694</v>
      </c>
      <c r="M60" s="741"/>
      <c r="N60" s="741"/>
      <c r="O60" s="741"/>
      <c r="P60" s="741"/>
      <c r="Q60" s="741"/>
      <c r="R60" s="741"/>
      <c r="S60" s="741"/>
      <c r="T60" s="41"/>
    </row>
    <row r="61" spans="1:20" ht="15" customHeight="1" x14ac:dyDescent="0.25">
      <c r="A61" s="766" t="s">
        <v>695</v>
      </c>
      <c r="B61" s="766"/>
      <c r="C61" s="766"/>
      <c r="D61" s="766"/>
      <c r="E61" s="766"/>
      <c r="F61" s="766"/>
      <c r="G61" s="766"/>
      <c r="H61" s="766"/>
      <c r="I61" s="766"/>
      <c r="J61" s="766"/>
      <c r="K61" s="41"/>
      <c r="L61" s="41"/>
      <c r="M61" s="41"/>
      <c r="N61" s="41"/>
      <c r="O61" s="41"/>
      <c r="P61" s="41"/>
      <c r="Q61" s="41"/>
      <c r="R61" s="41"/>
      <c r="S61" s="41"/>
      <c r="T61" s="41"/>
    </row>
    <row r="62" spans="1:20" x14ac:dyDescent="0.25">
      <c r="A62" s="766"/>
      <c r="B62" s="766"/>
      <c r="C62" s="766"/>
      <c r="D62" s="766"/>
      <c r="E62" s="766"/>
      <c r="F62" s="766"/>
      <c r="G62" s="766"/>
      <c r="H62" s="766"/>
      <c r="I62" s="766"/>
      <c r="J62" s="766"/>
      <c r="K62" s="41"/>
      <c r="L62" s="41"/>
      <c r="M62" s="41"/>
      <c r="N62" s="41"/>
      <c r="O62" s="41"/>
      <c r="P62" s="41"/>
      <c r="Q62" s="41"/>
      <c r="R62" s="41"/>
      <c r="S62" s="159"/>
      <c r="T62" s="160" t="str">
        <f>$J$610</f>
        <v>Version 1.15</v>
      </c>
    </row>
    <row r="63" spans="1:20" x14ac:dyDescent="0.25">
      <c r="A63" s="43"/>
      <c r="B63" s="43"/>
      <c r="C63" s="43"/>
      <c r="D63" s="43"/>
      <c r="E63" s="43"/>
      <c r="F63" s="43"/>
      <c r="G63" s="43"/>
      <c r="H63" s="43"/>
      <c r="I63" s="43"/>
      <c r="J63" s="43"/>
      <c r="K63" s="41"/>
      <c r="L63" s="41"/>
      <c r="M63" s="41"/>
      <c r="N63" s="41"/>
      <c r="O63" s="41"/>
      <c r="P63" s="41"/>
      <c r="Q63" s="41"/>
      <c r="R63" s="41"/>
      <c r="S63" s="752">
        <f>$I$611</f>
        <v>46031</v>
      </c>
      <c r="T63" s="752"/>
    </row>
    <row r="64" spans="1:20" x14ac:dyDescent="0.25">
      <c r="A64" s="51" t="s">
        <v>699</v>
      </c>
      <c r="B64" s="52"/>
      <c r="C64" s="52"/>
      <c r="D64" s="52"/>
      <c r="E64" s="52"/>
      <c r="F64" s="52"/>
      <c r="G64" s="52"/>
      <c r="H64" s="52"/>
      <c r="I64" s="52"/>
      <c r="J64" s="52"/>
      <c r="K64" s="41"/>
      <c r="L64" s="41"/>
      <c r="M64" s="41"/>
      <c r="N64" s="41"/>
      <c r="O64" s="41"/>
      <c r="P64" s="41"/>
      <c r="Q64" s="41"/>
      <c r="R64" s="41"/>
      <c r="S64" s="41"/>
      <c r="T64" s="41"/>
    </row>
    <row r="65" spans="1:22" x14ac:dyDescent="0.25">
      <c r="A65" s="767" t="str">
        <f>HYPERLINK("mailto:" &amp; $E$604 &amp; "?subject=Skilled Worker initial CoS application - " &amp; PROPER($I$153) &amp; " " &amp; PROPER($E$155) &amp; " " &amp; UPPER($E$154) &amp; "&amp;body=Please find attached a Skilled Worker initial CoS application for " &amp; PROPER($I$153) &amp; " " &amp; PROPER($E$155) &amp; " " &amp; UPPER($E$154),$E$604)</f>
        <v>angelina.escott@admin.ox.ac.uk</v>
      </c>
      <c r="B65" s="767"/>
      <c r="C65" s="767"/>
      <c r="D65" s="767"/>
      <c r="E65" s="767"/>
      <c r="F65" s="767" t="str">
        <f>HYPERLINK("mailto:" &amp; $E$605 &amp; "?subject=Skilled Worker initial CoS application - " &amp; PROPER($I$153) &amp; " " &amp; PROPER($E$155) &amp; " " &amp; UPPER($E$154) &amp; "&amp;body=Please find attached a Skilled Worker initial CoS application for " &amp; PROPER($I$153) &amp; " " &amp; PROPER($E$155) &amp; " " &amp; UPPER($E$154),$E$605)</f>
        <v>paul.deeble@admin.ox.ac.uk</v>
      </c>
      <c r="G65" s="767"/>
      <c r="H65" s="767"/>
      <c r="I65" s="767"/>
      <c r="J65" s="767"/>
      <c r="K65" s="41"/>
      <c r="L65" s="41"/>
      <c r="M65" s="41"/>
      <c r="N65" s="41"/>
      <c r="O65" s="41"/>
      <c r="P65" s="41"/>
      <c r="Q65" s="41"/>
      <c r="R65" s="41"/>
      <c r="S65" s="41"/>
      <c r="T65" s="41"/>
      <c r="V65" s="53"/>
    </row>
    <row r="66" spans="1:22" s="269" customFormat="1" x14ac:dyDescent="0.25">
      <c r="A66" s="767" t="str">
        <f>HYPERLINK("mailto:" &amp; $E$606 &amp; "?subject=Skilled Worker initial CoS application - " &amp; PROPER($I$153) &amp; " " &amp; PROPER($E$155) &amp; " " &amp; UPPER($E$154) &amp; "&amp;body=Please find attached a Skilled Worker initial CoS application for " &amp; PROPER($I$153) &amp; " " &amp; PROPER($E$155) &amp; " " &amp; UPPER($E$154),$E$606)</f>
        <v>kara.updale@admin.ox.ac.uk</v>
      </c>
      <c r="B66" s="767"/>
      <c r="C66" s="767"/>
      <c r="D66" s="767"/>
      <c r="E66" s="767"/>
      <c r="F66" s="767"/>
      <c r="G66" s="767"/>
      <c r="H66" s="767"/>
      <c r="I66" s="767"/>
      <c r="J66" s="767"/>
      <c r="K66" s="41"/>
      <c r="L66" s="41"/>
      <c r="M66" s="41"/>
      <c r="N66" s="41"/>
      <c r="O66" s="41"/>
      <c r="P66" s="41"/>
      <c r="Q66" s="41"/>
      <c r="R66" s="41"/>
      <c r="S66" s="41"/>
      <c r="T66" s="41"/>
      <c r="V66" s="53"/>
    </row>
    <row r="67" spans="1:22" x14ac:dyDescent="0.25">
      <c r="A67" s="753" t="s">
        <v>1190</v>
      </c>
      <c r="B67" s="753"/>
      <c r="C67" s="753"/>
      <c r="D67" s="753"/>
      <c r="E67" s="753"/>
      <c r="F67" s="753"/>
      <c r="G67" s="753"/>
      <c r="H67" s="753"/>
      <c r="I67" s="753"/>
      <c r="J67" s="753"/>
      <c r="K67" s="41"/>
      <c r="L67" s="41"/>
      <c r="M67" s="41"/>
      <c r="N67" s="41"/>
      <c r="O67" s="41"/>
      <c r="P67" s="41"/>
      <c r="Q67" s="41"/>
      <c r="R67" s="41"/>
      <c r="S67" s="41"/>
      <c r="T67" s="41"/>
    </row>
    <row r="68" spans="1:22" x14ac:dyDescent="0.25">
      <c r="A68" s="767" t="str">
        <f>HYPERLINK("mailto:" &amp; $E$608 &amp; "?subject=Skilled Worker initial CoS application - " &amp; PROPER($I$153) &amp; " " &amp; PROPER($E$155) &amp; " " &amp; UPPER($E$154) &amp; "&amp;body=Please find attached a Skilled Worker initial CoS application for " &amp; PROPER($I$153) &amp; " " &amp; PROPER($E$155) &amp; " " &amp; UPPER($E$154),$E$608)</f>
        <v>lyn.davis@admin.ox.ac.uk</v>
      </c>
      <c r="B68" s="767"/>
      <c r="C68" s="767"/>
      <c r="D68" s="767"/>
      <c r="E68" s="767"/>
      <c r="F68" s="767" t="str">
        <f>HYPERLINK("mailto:" &amp; $E$609 &amp; "?subject=Skilled Worker initial CoS application - " &amp; PROPER($I$153) &amp; " " &amp; PROPER($E$155) &amp; " " &amp; UPPER($E$154) &amp; "&amp;body=Please find attached a Skilled Worker initial CoS application for " &amp; PROPER($I$153) &amp; " " &amp; PROPER($E$155) &amp; " " &amp; UPPER($E$154),$E$609)</f>
        <v>richard.birt@admin.ox.ac.uk</v>
      </c>
      <c r="G68" s="767"/>
      <c r="H68" s="767"/>
      <c r="I68" s="767"/>
      <c r="J68" s="767"/>
      <c r="K68" s="41"/>
      <c r="L68" s="41"/>
      <c r="M68" s="41"/>
      <c r="N68" s="41"/>
      <c r="O68" s="41"/>
      <c r="P68" s="41"/>
      <c r="Q68" s="41"/>
      <c r="R68" s="41"/>
      <c r="S68" s="41"/>
      <c r="T68" s="41"/>
    </row>
    <row r="69" spans="1:22" s="269" customFormat="1" x14ac:dyDescent="0.25">
      <c r="A69" s="767" t="str">
        <f>HYPERLINK("mailto:" &amp; $E$610 &amp; "?subject=Skilled Worker initial CoS application - " &amp; PROPER($I$153) &amp; " " &amp; PROPER($E$155) &amp; " " &amp; UPPER($E$154) &amp; "&amp;body=Please find attached a Skilled Worker initial CoS application for " &amp; PROPER($I$153) &amp; " " &amp; PROPER($E$155) &amp; " " &amp; UPPER($E$154),$E$610)</f>
        <v>sufia.nadeem@admin.ox.ac.uk</v>
      </c>
      <c r="B69" s="767"/>
      <c r="C69" s="767"/>
      <c r="D69" s="767"/>
      <c r="E69" s="767"/>
      <c r="F69" s="767"/>
      <c r="G69" s="767"/>
      <c r="H69" s="767"/>
      <c r="I69" s="767"/>
      <c r="J69" s="767"/>
      <c r="K69" s="41"/>
      <c r="L69" s="41"/>
      <c r="M69" s="41"/>
      <c r="N69" s="41"/>
      <c r="O69" s="41"/>
      <c r="P69" s="41"/>
      <c r="Q69" s="41"/>
      <c r="R69" s="41"/>
      <c r="S69" s="41"/>
      <c r="T69" s="41"/>
    </row>
    <row r="70" spans="1:22" x14ac:dyDescent="0.25">
      <c r="A70" s="753" t="s">
        <v>1191</v>
      </c>
      <c r="B70" s="753"/>
      <c r="C70" s="753"/>
      <c r="D70" s="753"/>
      <c r="E70" s="753"/>
      <c r="F70" s="753"/>
      <c r="G70" s="753"/>
      <c r="H70" s="753"/>
      <c r="I70" s="753"/>
      <c r="J70" s="753"/>
      <c r="K70" s="41"/>
      <c r="L70" s="41"/>
      <c r="M70" s="41"/>
      <c r="N70" s="41"/>
      <c r="O70" s="41"/>
      <c r="P70" s="41"/>
      <c r="Q70" s="41"/>
      <c r="R70" s="41"/>
      <c r="S70" s="41"/>
      <c r="T70" s="41"/>
    </row>
    <row r="71" spans="1:22" x14ac:dyDescent="0.25">
      <c r="A71" s="212"/>
      <c r="B71" s="212"/>
      <c r="C71" s="212"/>
      <c r="D71" s="212"/>
      <c r="E71" s="212"/>
      <c r="F71" s="211"/>
      <c r="G71" s="211"/>
      <c r="H71" s="211"/>
      <c r="I71" s="211"/>
      <c r="J71" s="211"/>
      <c r="K71" s="41"/>
      <c r="L71" s="41"/>
      <c r="M71" s="41"/>
      <c r="N71" s="41"/>
      <c r="O71" s="41"/>
      <c r="P71" s="41"/>
      <c r="Q71" s="41"/>
      <c r="R71" s="41"/>
      <c r="S71" s="41"/>
      <c r="T71" s="41"/>
    </row>
    <row r="72" spans="1:22" x14ac:dyDescent="0.25">
      <c r="A72" s="768" t="s">
        <v>702</v>
      </c>
      <c r="B72" s="768"/>
      <c r="C72" s="768"/>
      <c r="D72" s="768"/>
      <c r="E72" s="768"/>
      <c r="F72" s="768"/>
      <c r="G72" s="768"/>
      <c r="H72" s="768"/>
      <c r="I72" s="768"/>
      <c r="J72" s="768"/>
      <c r="K72" s="41"/>
      <c r="L72" s="41"/>
      <c r="M72" s="41"/>
      <c r="N72" s="41"/>
      <c r="O72" s="41"/>
      <c r="P72" s="41"/>
      <c r="Q72" s="41"/>
      <c r="R72" s="41"/>
      <c r="S72" s="41"/>
      <c r="T72" s="41"/>
    </row>
    <row r="73" spans="1:22" x14ac:dyDescent="0.25">
      <c r="A73" s="768"/>
      <c r="B73" s="768"/>
      <c r="C73" s="768"/>
      <c r="D73" s="768"/>
      <c r="E73" s="768"/>
      <c r="F73" s="768"/>
      <c r="G73" s="768"/>
      <c r="H73" s="768"/>
      <c r="I73" s="768"/>
      <c r="J73" s="768"/>
      <c r="K73" s="41"/>
      <c r="L73" s="41"/>
      <c r="M73" s="41"/>
      <c r="N73" s="41"/>
      <c r="O73" s="41"/>
      <c r="P73" s="41"/>
      <c r="Q73" s="41"/>
      <c r="R73" s="41"/>
      <c r="S73" s="41"/>
      <c r="T73" s="41"/>
    </row>
    <row r="74" spans="1:22" x14ac:dyDescent="0.25">
      <c r="A74" s="768"/>
      <c r="B74" s="768"/>
      <c r="C74" s="768"/>
      <c r="D74" s="768"/>
      <c r="E74" s="768"/>
      <c r="F74" s="768"/>
      <c r="G74" s="768"/>
      <c r="H74" s="768"/>
      <c r="I74" s="768"/>
      <c r="J74" s="768"/>
      <c r="K74" s="41"/>
      <c r="L74" s="41"/>
      <c r="M74" s="41"/>
      <c r="N74" s="41"/>
      <c r="O74" s="41"/>
      <c r="P74" s="41"/>
      <c r="Q74" s="41"/>
      <c r="R74" s="41"/>
      <c r="S74" s="41"/>
      <c r="T74" s="41"/>
    </row>
    <row r="75" spans="1:22" x14ac:dyDescent="0.25">
      <c r="A75" s="55"/>
      <c r="B75" s="55"/>
      <c r="C75" s="55"/>
      <c r="D75" s="55"/>
      <c r="E75" s="55"/>
      <c r="F75" s="55"/>
      <c r="G75" s="55"/>
      <c r="H75" s="55"/>
      <c r="I75" s="55"/>
      <c r="J75" s="55"/>
      <c r="K75" s="41"/>
      <c r="L75" s="41"/>
      <c r="M75" s="41"/>
      <c r="N75" s="41"/>
      <c r="O75" s="41"/>
      <c r="P75" s="41"/>
      <c r="Q75" s="41"/>
      <c r="R75" s="41"/>
      <c r="S75" s="41"/>
      <c r="T75" s="41"/>
    </row>
    <row r="76" spans="1:22" x14ac:dyDescent="0.25">
      <c r="A76" s="769" t="s">
        <v>700</v>
      </c>
      <c r="B76" s="769"/>
      <c r="C76" s="769"/>
      <c r="D76" s="769"/>
      <c r="E76" s="769"/>
      <c r="F76" s="769"/>
      <c r="G76" s="769"/>
      <c r="H76" s="769"/>
      <c r="I76" s="769"/>
      <c r="J76" s="769"/>
      <c r="K76" s="41"/>
      <c r="L76" s="41"/>
      <c r="M76" s="41"/>
      <c r="N76" s="41"/>
      <c r="O76" s="41"/>
      <c r="P76" s="41"/>
      <c r="Q76" s="41"/>
      <c r="R76" s="41"/>
      <c r="S76" s="41"/>
      <c r="T76" s="41"/>
    </row>
    <row r="77" spans="1:22" x14ac:dyDescent="0.25">
      <c r="A77" s="769"/>
      <c r="B77" s="769"/>
      <c r="C77" s="769"/>
      <c r="D77" s="769"/>
      <c r="E77" s="769"/>
      <c r="F77" s="769"/>
      <c r="G77" s="769"/>
      <c r="H77" s="769"/>
      <c r="I77" s="769"/>
      <c r="J77" s="769"/>
      <c r="K77" s="41"/>
      <c r="L77" s="41"/>
      <c r="M77" s="41"/>
      <c r="N77" s="41"/>
      <c r="O77" s="41"/>
      <c r="P77" s="41"/>
      <c r="Q77" s="41"/>
      <c r="R77" s="41"/>
      <c r="S77" s="41"/>
      <c r="T77" s="41"/>
    </row>
    <row r="78" spans="1:22" x14ac:dyDescent="0.25">
      <c r="A78" s="45"/>
      <c r="B78" s="45"/>
      <c r="C78" s="45"/>
      <c r="D78" s="45"/>
      <c r="E78" s="45"/>
      <c r="F78" s="45"/>
      <c r="G78" s="45"/>
      <c r="H78" s="45"/>
      <c r="I78" s="45"/>
      <c r="J78" s="45"/>
      <c r="K78" s="41"/>
      <c r="L78" s="41"/>
      <c r="M78" s="41"/>
      <c r="N78" s="41"/>
      <c r="O78" s="41"/>
      <c r="P78" s="41"/>
      <c r="Q78" s="41"/>
      <c r="R78" s="41"/>
      <c r="S78" s="41"/>
      <c r="T78" s="41"/>
    </row>
    <row r="79" spans="1:22" x14ac:dyDescent="0.25">
      <c r="A79" s="473" t="s">
        <v>701</v>
      </c>
      <c r="B79" s="473"/>
      <c r="C79" s="473"/>
      <c r="D79" s="473"/>
      <c r="E79" s="473"/>
      <c r="F79" s="473"/>
      <c r="G79" s="473"/>
      <c r="H79" s="473"/>
      <c r="I79" s="473"/>
      <c r="J79" s="473"/>
      <c r="K79" s="41"/>
      <c r="L79" s="41"/>
      <c r="M79" s="41"/>
      <c r="N79" s="41"/>
      <c r="O79" s="41"/>
      <c r="P79" s="41"/>
      <c r="Q79" s="41"/>
      <c r="R79" s="41"/>
      <c r="S79" s="41"/>
      <c r="T79" s="41"/>
    </row>
    <row r="80" spans="1:22" x14ac:dyDescent="0.25">
      <c r="A80" s="50"/>
      <c r="B80" s="45"/>
      <c r="C80" s="45"/>
      <c r="D80" s="45"/>
      <c r="E80" s="45"/>
      <c r="F80" s="45"/>
      <c r="G80" s="45"/>
      <c r="H80" s="45"/>
      <c r="I80" s="45"/>
      <c r="J80" s="45"/>
      <c r="K80" s="41"/>
      <c r="L80" s="41"/>
      <c r="M80" s="41"/>
      <c r="N80" s="41"/>
      <c r="O80" s="41"/>
      <c r="P80" s="41"/>
      <c r="Q80" s="41"/>
      <c r="R80" s="41"/>
      <c r="S80" s="41"/>
      <c r="T80" s="41"/>
    </row>
    <row r="81" spans="1:20" x14ac:dyDescent="0.25">
      <c r="A81" s="56"/>
      <c r="B81" s="56"/>
      <c r="C81" s="56"/>
      <c r="D81" s="56"/>
      <c r="E81" s="56"/>
      <c r="F81" s="56"/>
      <c r="G81" s="56"/>
      <c r="H81" s="56"/>
      <c r="I81" s="56"/>
      <c r="J81" s="56"/>
      <c r="K81" s="41"/>
      <c r="L81" s="41"/>
      <c r="M81" s="41"/>
      <c r="N81" s="743"/>
      <c r="O81" s="744"/>
      <c r="P81" s="744"/>
      <c r="Q81" s="744"/>
      <c r="R81" s="744"/>
      <c r="S81" s="745"/>
      <c r="T81" s="41"/>
    </row>
    <row r="82" spans="1:20" ht="18.75" x14ac:dyDescent="0.25">
      <c r="A82" s="56"/>
      <c r="B82" s="56"/>
      <c r="C82" s="56"/>
      <c r="D82" s="56"/>
      <c r="E82" s="56"/>
      <c r="F82" s="56"/>
      <c r="G82" s="56"/>
      <c r="H82" s="56"/>
      <c r="I82" s="58" t="str">
        <f>IF(CHECKING!$B$5=TRUE,10,"")</f>
        <v/>
      </c>
      <c r="J82" s="56"/>
      <c r="K82" s="41"/>
      <c r="L82" s="41"/>
      <c r="M82" s="41"/>
      <c r="N82" s="746"/>
      <c r="O82" s="747"/>
      <c r="P82" s="747"/>
      <c r="Q82" s="747"/>
      <c r="R82" s="747"/>
      <c r="S82" s="748"/>
      <c r="T82" s="41"/>
    </row>
    <row r="83" spans="1:20" ht="18.75" x14ac:dyDescent="0.25">
      <c r="A83" s="56"/>
      <c r="B83" s="56"/>
      <c r="C83" s="56"/>
      <c r="D83" s="56"/>
      <c r="E83" s="56"/>
      <c r="F83" s="56"/>
      <c r="G83" s="56"/>
      <c r="H83" s="56"/>
      <c r="I83" s="58" t="str">
        <f>IF(CHECKING!$B$6=TRUE,10,"")</f>
        <v/>
      </c>
      <c r="J83" s="56"/>
      <c r="K83" s="41"/>
      <c r="L83" s="41"/>
      <c r="M83" s="41"/>
      <c r="N83" s="746"/>
      <c r="O83" s="747"/>
      <c r="P83" s="747"/>
      <c r="Q83" s="747"/>
      <c r="R83" s="747"/>
      <c r="S83" s="748"/>
      <c r="T83" s="41"/>
    </row>
    <row r="84" spans="1:20" x14ac:dyDescent="0.25">
      <c r="A84" s="56"/>
      <c r="B84" s="56"/>
      <c r="C84" s="56"/>
      <c r="D84" s="56"/>
      <c r="E84" s="56"/>
      <c r="F84" s="56"/>
      <c r="G84" s="56"/>
      <c r="H84" s="56"/>
      <c r="I84" s="56"/>
      <c r="J84" s="56"/>
      <c r="K84" s="41"/>
      <c r="L84" s="41"/>
      <c r="M84" s="41"/>
      <c r="N84" s="746"/>
      <c r="O84" s="747"/>
      <c r="P84" s="747"/>
      <c r="Q84" s="747"/>
      <c r="R84" s="747"/>
      <c r="S84" s="748"/>
      <c r="T84" s="41"/>
    </row>
    <row r="85" spans="1:20" ht="15" customHeight="1" x14ac:dyDescent="0.25">
      <c r="A85" s="596" t="s">
        <v>923</v>
      </c>
      <c r="B85" s="596"/>
      <c r="C85" s="596"/>
      <c r="D85" s="596"/>
      <c r="E85" s="596"/>
      <c r="F85" s="596"/>
      <c r="G85" s="596"/>
      <c r="H85" s="596"/>
      <c r="I85" s="596"/>
      <c r="J85" s="596"/>
      <c r="K85" s="41"/>
      <c r="L85" s="41"/>
      <c r="M85" s="41"/>
      <c r="N85" s="746"/>
      <c r="O85" s="747"/>
      <c r="P85" s="747"/>
      <c r="Q85" s="747"/>
      <c r="R85" s="747"/>
      <c r="S85" s="748"/>
      <c r="T85" s="41"/>
    </row>
    <row r="86" spans="1:20" x14ac:dyDescent="0.25">
      <c r="A86" s="596"/>
      <c r="B86" s="596"/>
      <c r="C86" s="596"/>
      <c r="D86" s="596"/>
      <c r="E86" s="596"/>
      <c r="F86" s="596"/>
      <c r="G86" s="596"/>
      <c r="H86" s="596"/>
      <c r="I86" s="596"/>
      <c r="J86" s="596"/>
      <c r="K86" s="41"/>
      <c r="L86" s="41"/>
      <c r="M86" s="41"/>
      <c r="N86" s="749"/>
      <c r="O86" s="750"/>
      <c r="P86" s="750"/>
      <c r="Q86" s="750"/>
      <c r="R86" s="750"/>
      <c r="S86" s="751"/>
      <c r="T86" s="41"/>
    </row>
    <row r="87" spans="1:20" x14ac:dyDescent="0.25">
      <c r="A87" s="596"/>
      <c r="B87" s="596"/>
      <c r="C87" s="596"/>
      <c r="D87" s="596"/>
      <c r="E87" s="596"/>
      <c r="F87" s="596"/>
      <c r="G87" s="596"/>
      <c r="H87" s="596"/>
      <c r="I87" s="596"/>
      <c r="J87" s="596"/>
      <c r="K87" s="41"/>
      <c r="L87" s="41"/>
      <c r="M87" s="41"/>
      <c r="N87" s="41"/>
      <c r="O87" s="41"/>
      <c r="P87" s="41"/>
      <c r="Q87" s="41"/>
      <c r="R87" s="41"/>
      <c r="S87" s="41"/>
      <c r="T87" s="41"/>
    </row>
    <row r="88" spans="1:20" x14ac:dyDescent="0.25">
      <c r="A88" s="263"/>
      <c r="B88" s="263"/>
      <c r="C88" s="263"/>
      <c r="D88" s="263"/>
      <c r="E88" s="258"/>
      <c r="F88" s="258"/>
      <c r="G88" s="258"/>
      <c r="H88" s="258"/>
      <c r="I88" s="258"/>
      <c r="J88" s="258"/>
      <c r="K88" s="41"/>
      <c r="L88" s="41"/>
      <c r="M88" s="41"/>
      <c r="N88" s="264"/>
      <c r="O88" s="264"/>
      <c r="P88" s="264"/>
      <c r="Q88" s="264"/>
      <c r="R88" s="264"/>
      <c r="S88" s="264"/>
      <c r="T88" s="41"/>
    </row>
    <row r="89" spans="1:20" ht="18.75" customHeight="1" thickBot="1" x14ac:dyDescent="0.3">
      <c r="A89" s="428" t="s">
        <v>1124</v>
      </c>
      <c r="B89" s="60"/>
      <c r="C89" s="60"/>
      <c r="D89" s="60"/>
      <c r="E89" s="60"/>
      <c r="F89" s="60"/>
      <c r="G89" s="60"/>
      <c r="H89" s="60"/>
      <c r="I89" s="60"/>
      <c r="J89" s="60"/>
      <c r="K89" s="41"/>
      <c r="L89" s="41"/>
      <c r="M89" s="41"/>
      <c r="N89" s="743"/>
      <c r="O89" s="744"/>
      <c r="P89" s="744"/>
      <c r="Q89" s="744"/>
      <c r="R89" s="744"/>
      <c r="S89" s="745"/>
      <c r="T89" s="41"/>
    </row>
    <row r="90" spans="1:20" ht="15" customHeight="1" thickBot="1" x14ac:dyDescent="0.3">
      <c r="A90" s="259" t="s">
        <v>942</v>
      </c>
      <c r="B90" s="216"/>
      <c r="C90" s="216"/>
      <c r="D90" s="216"/>
      <c r="E90" s="216"/>
      <c r="F90" s="216"/>
      <c r="G90" s="216"/>
      <c r="H90" s="216"/>
      <c r="I90" s="260"/>
      <c r="J90" s="261" t="s">
        <v>379</v>
      </c>
      <c r="K90" s="41"/>
      <c r="L90" s="41"/>
      <c r="M90" s="41"/>
      <c r="N90" s="746"/>
      <c r="O90" s="747"/>
      <c r="P90" s="747"/>
      <c r="Q90" s="747"/>
      <c r="R90" s="747"/>
      <c r="S90" s="748"/>
      <c r="T90" s="41"/>
    </row>
    <row r="91" spans="1:20" ht="15" customHeight="1" thickBot="1" x14ac:dyDescent="0.3">
      <c r="A91" s="262"/>
      <c r="B91" s="262"/>
      <c r="C91" s="262"/>
      <c r="D91" s="262"/>
      <c r="E91" s="262"/>
      <c r="F91" s="262"/>
      <c r="G91" s="262"/>
      <c r="H91" s="262"/>
      <c r="I91" s="262"/>
      <c r="J91" s="262"/>
      <c r="K91" s="41"/>
      <c r="L91" s="41"/>
      <c r="M91" s="41"/>
      <c r="N91" s="746"/>
      <c r="O91" s="747"/>
      <c r="P91" s="747"/>
      <c r="Q91" s="747"/>
      <c r="R91" s="747"/>
      <c r="S91" s="748"/>
      <c r="T91" s="41"/>
    </row>
    <row r="92" spans="1:20" ht="15.75" thickBot="1" x14ac:dyDescent="0.3">
      <c r="A92" s="598" t="s">
        <v>941</v>
      </c>
      <c r="B92" s="598"/>
      <c r="C92" s="598"/>
      <c r="D92" s="598"/>
      <c r="E92" s="598"/>
      <c r="F92" s="598"/>
      <c r="G92" s="598"/>
      <c r="H92" s="599"/>
      <c r="I92" s="654"/>
      <c r="J92" s="656"/>
      <c r="K92" s="41"/>
      <c r="L92" s="41"/>
      <c r="M92" s="41"/>
      <c r="N92" s="746"/>
      <c r="O92" s="747"/>
      <c r="P92" s="747"/>
      <c r="Q92" s="747"/>
      <c r="R92" s="747"/>
      <c r="S92" s="748"/>
      <c r="T92" s="41"/>
    </row>
    <row r="93" spans="1:20" ht="15.75" x14ac:dyDescent="0.25">
      <c r="A93" s="250"/>
      <c r="B93" s="771" t="s">
        <v>940</v>
      </c>
      <c r="C93" s="771"/>
      <c r="D93" s="771"/>
      <c r="E93" s="771"/>
      <c r="F93" s="771"/>
      <c r="G93" s="771"/>
      <c r="H93" s="771"/>
      <c r="I93" s="250"/>
      <c r="J93" s="250"/>
      <c r="K93" s="41"/>
      <c r="L93" s="41"/>
      <c r="M93" s="41"/>
      <c r="N93" s="749"/>
      <c r="O93" s="750"/>
      <c r="P93" s="750"/>
      <c r="Q93" s="750"/>
      <c r="R93" s="750"/>
      <c r="S93" s="751"/>
      <c r="T93" s="41"/>
    </row>
    <row r="94" spans="1:20" ht="15" customHeight="1" x14ac:dyDescent="0.25">
      <c r="A94" s="262"/>
      <c r="B94" s="262"/>
      <c r="C94" s="262"/>
      <c r="D94" s="262"/>
      <c r="E94" s="262"/>
      <c r="F94" s="262"/>
      <c r="G94" s="262"/>
      <c r="H94" s="262"/>
      <c r="I94" s="262"/>
      <c r="J94" s="262"/>
      <c r="K94" s="41"/>
      <c r="L94" s="41"/>
      <c r="M94" s="41"/>
      <c r="N94" s="143"/>
      <c r="O94" s="143"/>
      <c r="P94" s="143"/>
      <c r="Q94" s="143"/>
      <c r="R94" s="143"/>
      <c r="S94" s="143"/>
      <c r="T94" s="41"/>
    </row>
    <row r="95" spans="1:20" ht="15" customHeight="1" x14ac:dyDescent="0.25">
      <c r="A95" s="473" t="s">
        <v>1090</v>
      </c>
      <c r="B95" s="473"/>
      <c r="C95" s="473"/>
      <c r="D95" s="473"/>
      <c r="E95" s="473"/>
      <c r="F95" s="473"/>
      <c r="G95" s="473"/>
      <c r="H95" s="473"/>
      <c r="I95" s="473"/>
      <c r="J95" s="473"/>
      <c r="K95" s="41"/>
      <c r="L95" s="41"/>
      <c r="M95" s="41"/>
      <c r="N95" s="143"/>
      <c r="O95" s="143"/>
      <c r="P95" s="143"/>
      <c r="Q95" s="143"/>
      <c r="R95" s="143"/>
      <c r="S95" s="143"/>
      <c r="T95" s="41"/>
    </row>
    <row r="96" spans="1:20" x14ac:dyDescent="0.25">
      <c r="A96" s="773" t="s">
        <v>1089</v>
      </c>
      <c r="B96" s="773"/>
      <c r="C96" s="773"/>
      <c r="D96" s="773"/>
      <c r="E96" s="773"/>
      <c r="F96" s="773"/>
      <c r="G96" s="773"/>
      <c r="H96" s="773"/>
      <c r="I96" s="773"/>
      <c r="J96" s="773"/>
      <c r="K96" s="41"/>
      <c r="L96" s="41"/>
      <c r="M96" s="41"/>
      <c r="N96" s="143"/>
      <c r="O96" s="143"/>
      <c r="P96" s="143"/>
      <c r="Q96" s="143"/>
      <c r="R96" s="143"/>
      <c r="S96" s="143"/>
      <c r="T96" s="41"/>
    </row>
    <row r="97" spans="1:20" ht="15.75" customHeight="1" x14ac:dyDescent="0.25">
      <c r="A97" s="773"/>
      <c r="B97" s="773"/>
      <c r="C97" s="773"/>
      <c r="D97" s="773"/>
      <c r="E97" s="773"/>
      <c r="F97" s="773"/>
      <c r="G97" s="773"/>
      <c r="H97" s="773"/>
      <c r="I97" s="773"/>
      <c r="J97" s="773"/>
      <c r="K97" s="41"/>
      <c r="L97" s="41"/>
      <c r="M97" s="41"/>
      <c r="N97" s="558"/>
      <c r="O97" s="559"/>
      <c r="P97" s="559"/>
      <c r="Q97" s="559"/>
      <c r="R97" s="559"/>
      <c r="S97" s="560"/>
      <c r="T97" s="41"/>
    </row>
    <row r="98" spans="1:20" x14ac:dyDescent="0.25">
      <c r="A98" s="773" t="str">
        <f xml:space="preserve"> "By doing so, the employing department/ college is certifying they will, if necessary, maintain &amp; accommodate the applicant (£" &amp; Dropdowns!$V$29 &amp; "), their partner (£" &amp; Dropdowns!$V$30 &amp; "), their first child (£" &amp; Dropdowns!$V$31 &amp; "), and any additional children (£" &amp; Dropdowns!$V$32 &amp; " each), for the first month of employment."</f>
        <v>By doing so, the employing department/ college is certifying they will, if necessary, maintain &amp; accommodate the applicant (£1270), their partner (£285), their first child (£315), and any additional children (£200 each), for the first month of employment.</v>
      </c>
      <c r="B98" s="773"/>
      <c r="C98" s="773"/>
      <c r="D98" s="773"/>
      <c r="E98" s="773"/>
      <c r="F98" s="773"/>
      <c r="G98" s="773"/>
      <c r="H98" s="773"/>
      <c r="I98" s="773"/>
      <c r="J98" s="773"/>
      <c r="K98" s="41"/>
      <c r="L98" s="41"/>
      <c r="M98" s="41"/>
      <c r="N98" s="561"/>
      <c r="O98" s="562"/>
      <c r="P98" s="562"/>
      <c r="Q98" s="562"/>
      <c r="R98" s="562"/>
      <c r="S98" s="563"/>
      <c r="T98" s="41"/>
    </row>
    <row r="99" spans="1:20" x14ac:dyDescent="0.25">
      <c r="A99" s="773"/>
      <c r="B99" s="773"/>
      <c r="C99" s="773"/>
      <c r="D99" s="773"/>
      <c r="E99" s="773"/>
      <c r="F99" s="773"/>
      <c r="G99" s="773"/>
      <c r="H99" s="773"/>
      <c r="I99" s="773"/>
      <c r="J99" s="773"/>
      <c r="K99" s="41"/>
      <c r="L99" s="41"/>
      <c r="M99" s="41"/>
      <c r="N99" s="561"/>
      <c r="O99" s="562"/>
      <c r="P99" s="562"/>
      <c r="Q99" s="562"/>
      <c r="R99" s="562"/>
      <c r="S99" s="563"/>
      <c r="T99" s="41"/>
    </row>
    <row r="100" spans="1:20" x14ac:dyDescent="0.25">
      <c r="A100" s="773"/>
      <c r="B100" s="773"/>
      <c r="C100" s="773"/>
      <c r="D100" s="773"/>
      <c r="E100" s="773"/>
      <c r="F100" s="773"/>
      <c r="G100" s="773"/>
      <c r="H100" s="773"/>
      <c r="I100" s="773"/>
      <c r="J100" s="773"/>
      <c r="K100" s="41"/>
      <c r="L100" s="41"/>
      <c r="M100" s="41"/>
      <c r="N100" s="561"/>
      <c r="O100" s="562"/>
      <c r="P100" s="562"/>
      <c r="Q100" s="562"/>
      <c r="R100" s="562"/>
      <c r="S100" s="563"/>
      <c r="T100" s="41"/>
    </row>
    <row r="101" spans="1:20" x14ac:dyDescent="0.25">
      <c r="A101" s="410"/>
      <c r="B101" s="410"/>
      <c r="C101" s="410"/>
      <c r="D101" s="410"/>
      <c r="E101" s="410"/>
      <c r="F101" s="410"/>
      <c r="G101" s="410"/>
      <c r="H101" s="410"/>
      <c r="I101" s="410"/>
      <c r="J101" s="410"/>
      <c r="K101" s="41"/>
      <c r="L101" s="41"/>
      <c r="M101" s="41"/>
      <c r="N101" s="561"/>
      <c r="O101" s="562"/>
      <c r="P101" s="562"/>
      <c r="Q101" s="562"/>
      <c r="R101" s="562"/>
      <c r="S101" s="563"/>
      <c r="T101" s="41"/>
    </row>
    <row r="102" spans="1:20" ht="15" customHeight="1" x14ac:dyDescent="0.25">
      <c r="A102" s="410"/>
      <c r="B102" s="410"/>
      <c r="C102" s="410"/>
      <c r="D102" s="410"/>
      <c r="E102" s="410"/>
      <c r="F102" s="410"/>
      <c r="G102" s="410"/>
      <c r="H102" s="410"/>
      <c r="I102" s="410"/>
      <c r="J102" s="411" t="str">
        <f>IF(CHECKING!$B$11=TRUE,10,"")</f>
        <v/>
      </c>
      <c r="K102" s="41"/>
      <c r="L102" s="41"/>
      <c r="M102" s="41"/>
      <c r="N102" s="561"/>
      <c r="O102" s="562"/>
      <c r="P102" s="562"/>
      <c r="Q102" s="562"/>
      <c r="R102" s="562"/>
      <c r="S102" s="563"/>
      <c r="T102" s="41"/>
    </row>
    <row r="103" spans="1:20" ht="27" customHeight="1" x14ac:dyDescent="0.25">
      <c r="A103" s="410"/>
      <c r="B103" s="410"/>
      <c r="C103" s="410"/>
      <c r="D103" s="410"/>
      <c r="E103" s="410"/>
      <c r="F103" s="410"/>
      <c r="G103" s="410"/>
      <c r="H103" s="410"/>
      <c r="I103" s="410"/>
      <c r="J103" s="410"/>
      <c r="K103" s="41"/>
      <c r="L103" s="41"/>
      <c r="M103" s="41"/>
      <c r="N103" s="561"/>
      <c r="O103" s="562"/>
      <c r="P103" s="562"/>
      <c r="Q103" s="562"/>
      <c r="R103" s="562"/>
      <c r="S103" s="563"/>
      <c r="T103" s="41"/>
    </row>
    <row r="104" spans="1:20" ht="18.75" x14ac:dyDescent="0.25">
      <c r="A104" s="415"/>
      <c r="B104" s="415"/>
      <c r="C104" s="415"/>
      <c r="D104" s="415"/>
      <c r="E104" s="415"/>
      <c r="F104" s="415"/>
      <c r="G104" s="415"/>
      <c r="H104" s="415"/>
      <c r="I104" s="415"/>
      <c r="J104" s="416">
        <f>IF(CHECKING!$B$12=TRUE,10,"")</f>
        <v>10</v>
      </c>
      <c r="K104" s="41"/>
      <c r="L104" s="41"/>
      <c r="M104" s="41"/>
      <c r="N104" s="561"/>
      <c r="O104" s="562"/>
      <c r="P104" s="562"/>
      <c r="Q104" s="562"/>
      <c r="R104" s="562"/>
      <c r="S104" s="563"/>
      <c r="T104" s="41"/>
    </row>
    <row r="105" spans="1:20" x14ac:dyDescent="0.25">
      <c r="A105" s="415"/>
      <c r="B105" s="415"/>
      <c r="C105" s="415"/>
      <c r="D105" s="415"/>
      <c r="E105" s="415"/>
      <c r="F105" s="415"/>
      <c r="G105" s="415"/>
      <c r="H105" s="415"/>
      <c r="I105" s="415"/>
      <c r="J105" s="415"/>
      <c r="K105" s="41"/>
      <c r="L105" s="41"/>
      <c r="M105" s="41"/>
      <c r="N105" s="561"/>
      <c r="O105" s="562"/>
      <c r="P105" s="562"/>
      <c r="Q105" s="562"/>
      <c r="R105" s="562"/>
      <c r="S105" s="563"/>
      <c r="T105" s="41"/>
    </row>
    <row r="106" spans="1:20" ht="18.75" x14ac:dyDescent="0.25">
      <c r="A106" s="410"/>
      <c r="B106" s="410"/>
      <c r="C106" s="410"/>
      <c r="D106" s="410"/>
      <c r="E106" s="410"/>
      <c r="F106" s="410"/>
      <c r="G106" s="410"/>
      <c r="H106" s="410"/>
      <c r="I106" s="410"/>
      <c r="J106" s="412" t="str">
        <f>IF(CHECKING!$B$13=TRUE,10,"")</f>
        <v/>
      </c>
      <c r="K106" s="41"/>
      <c r="L106" s="41"/>
      <c r="M106" s="41"/>
      <c r="N106" s="561"/>
      <c r="O106" s="562"/>
      <c r="P106" s="562"/>
      <c r="Q106" s="562"/>
      <c r="R106" s="562"/>
      <c r="S106" s="563"/>
      <c r="T106" s="41"/>
    </row>
    <row r="107" spans="1:20" x14ac:dyDescent="0.25">
      <c r="A107" s="410"/>
      <c r="B107" s="410"/>
      <c r="C107" s="410"/>
      <c r="D107" s="410"/>
      <c r="E107" s="410"/>
      <c r="F107" s="410"/>
      <c r="G107" s="410"/>
      <c r="H107" s="410"/>
      <c r="I107" s="410"/>
      <c r="J107" s="410"/>
      <c r="K107" s="41"/>
      <c r="L107" s="41"/>
      <c r="M107" s="41"/>
      <c r="N107" s="561"/>
      <c r="O107" s="562"/>
      <c r="P107" s="562"/>
      <c r="Q107" s="562"/>
      <c r="R107" s="562"/>
      <c r="S107" s="563"/>
      <c r="T107" s="41"/>
    </row>
    <row r="108" spans="1:20" x14ac:dyDescent="0.25">
      <c r="A108" s="410"/>
      <c r="B108" s="755" t="str">
        <f xml:space="preserve"> "Bank statements will be submitted by the applicant to show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show £285 for their partner, £315 for their first child, and £200 for each additional child, has been held for 28 days ending no more than 31 days before the visa application is submitted.</v>
      </c>
      <c r="C108" s="755"/>
      <c r="D108" s="755"/>
      <c r="E108" s="755"/>
      <c r="F108" s="755"/>
      <c r="G108" s="755"/>
      <c r="H108" s="755"/>
      <c r="I108" s="755"/>
      <c r="J108" s="410"/>
      <c r="K108" s="41"/>
      <c r="L108" s="41"/>
      <c r="M108" s="41"/>
      <c r="N108" s="561"/>
      <c r="O108" s="562"/>
      <c r="P108" s="562"/>
      <c r="Q108" s="562"/>
      <c r="R108" s="562"/>
      <c r="S108" s="563"/>
      <c r="T108" s="41"/>
    </row>
    <row r="109" spans="1:20" x14ac:dyDescent="0.25">
      <c r="A109" s="410"/>
      <c r="B109" s="755"/>
      <c r="C109" s="755"/>
      <c r="D109" s="755"/>
      <c r="E109" s="755"/>
      <c r="F109" s="755"/>
      <c r="G109" s="755"/>
      <c r="H109" s="755"/>
      <c r="I109" s="755"/>
      <c r="J109" s="410"/>
      <c r="K109" s="41"/>
      <c r="L109" s="41"/>
      <c r="M109" s="41"/>
      <c r="N109" s="561"/>
      <c r="O109" s="562"/>
      <c r="P109" s="562"/>
      <c r="Q109" s="562"/>
      <c r="R109" s="562"/>
      <c r="S109" s="563"/>
      <c r="T109" s="41"/>
    </row>
    <row r="110" spans="1:20" ht="18.75" customHeight="1" x14ac:dyDescent="0.25">
      <c r="A110" s="410"/>
      <c r="B110" s="755"/>
      <c r="C110" s="755"/>
      <c r="D110" s="755"/>
      <c r="E110" s="755"/>
      <c r="F110" s="755"/>
      <c r="G110" s="755"/>
      <c r="H110" s="755"/>
      <c r="I110" s="755"/>
      <c r="J110" s="410"/>
      <c r="K110" s="41"/>
      <c r="L110" s="41"/>
      <c r="M110" s="41"/>
      <c r="N110" s="561"/>
      <c r="O110" s="562"/>
      <c r="P110" s="562"/>
      <c r="Q110" s="562"/>
      <c r="R110" s="562"/>
      <c r="S110" s="563"/>
      <c r="T110" s="41"/>
    </row>
    <row r="111" spans="1:20" ht="15.75" customHeight="1" x14ac:dyDescent="0.25">
      <c r="A111" s="410"/>
      <c r="B111" s="413"/>
      <c r="C111" s="413"/>
      <c r="D111" s="413"/>
      <c r="E111" s="413"/>
      <c r="F111" s="413"/>
      <c r="G111" s="413"/>
      <c r="H111" s="413"/>
      <c r="I111" s="413"/>
      <c r="J111" s="412" t="str">
        <f>IF(CHECKING!$B$14=TRUE,10,"")</f>
        <v/>
      </c>
      <c r="K111" s="41"/>
      <c r="L111" s="41"/>
      <c r="M111" s="41"/>
      <c r="N111" s="561"/>
      <c r="O111" s="562"/>
      <c r="P111" s="562"/>
      <c r="Q111" s="562"/>
      <c r="R111" s="562"/>
      <c r="S111" s="563"/>
      <c r="T111" s="41"/>
    </row>
    <row r="112" spans="1:20" x14ac:dyDescent="0.25">
      <c r="A112" s="410"/>
      <c r="B112" s="410"/>
      <c r="C112" s="410"/>
      <c r="D112" s="410"/>
      <c r="E112" s="410"/>
      <c r="F112" s="410"/>
      <c r="G112" s="410"/>
      <c r="H112" s="410"/>
      <c r="I112" s="410"/>
      <c r="J112" s="410"/>
      <c r="K112" s="41"/>
      <c r="L112" s="41"/>
      <c r="M112" s="41"/>
      <c r="N112" s="561"/>
      <c r="O112" s="562"/>
      <c r="P112" s="562"/>
      <c r="Q112" s="562"/>
      <c r="R112" s="562"/>
      <c r="S112" s="563"/>
      <c r="T112" s="41"/>
    </row>
    <row r="113" spans="1:20" x14ac:dyDescent="0.25">
      <c r="A113" s="410"/>
      <c r="B113" s="755" t="str">
        <f xml:space="preserve"> "Bank statements will be submitted by the applicant to evidence that £" &amp; Dropdowns!$V$29 &amp; ", plus £" &amp; Dropdowns!$V$30 &amp; " for their partner, £" &amp; Dropdowns!$V$31 &amp; " for their first child, and £" &amp; Dropdowns!$V$32 &amp; " for each additional child, has been held for 28 days ending no more than 31 days before the visa application is submitted."</f>
        <v>Bank statements will be submitted by the applicant to evidence that £1270, plus £285 for their partner, £315 for their first child, and £200 for each additional child, has been held for 28 days ending no more than 31 days before the visa application is submitted.</v>
      </c>
      <c r="C113" s="755"/>
      <c r="D113" s="755"/>
      <c r="E113" s="755"/>
      <c r="F113" s="755"/>
      <c r="G113" s="755"/>
      <c r="H113" s="755"/>
      <c r="I113" s="755"/>
      <c r="J113" s="410"/>
      <c r="K113" s="41"/>
      <c r="L113" s="41"/>
      <c r="M113" s="41"/>
      <c r="N113" s="564"/>
      <c r="O113" s="565"/>
      <c r="P113" s="565"/>
      <c r="Q113" s="565"/>
      <c r="R113" s="565"/>
      <c r="S113" s="566"/>
      <c r="T113" s="41"/>
    </row>
    <row r="114" spans="1:20" x14ac:dyDescent="0.25">
      <c r="A114" s="410"/>
      <c r="B114" s="755"/>
      <c r="C114" s="755"/>
      <c r="D114" s="755"/>
      <c r="E114" s="755"/>
      <c r="F114" s="755"/>
      <c r="G114" s="755"/>
      <c r="H114" s="755"/>
      <c r="I114" s="755"/>
      <c r="J114" s="410"/>
      <c r="K114" s="41"/>
      <c r="L114" s="41"/>
      <c r="M114" s="41"/>
      <c r="N114" s="41"/>
      <c r="O114" s="41"/>
      <c r="P114" s="41"/>
      <c r="Q114" s="41"/>
      <c r="R114" s="41"/>
      <c r="S114" s="41"/>
      <c r="T114" s="41"/>
    </row>
    <row r="115" spans="1:20" x14ac:dyDescent="0.25">
      <c r="A115" s="410"/>
      <c r="B115" s="755"/>
      <c r="C115" s="755"/>
      <c r="D115" s="755"/>
      <c r="E115" s="755"/>
      <c r="F115" s="755"/>
      <c r="G115" s="755"/>
      <c r="H115" s="755"/>
      <c r="I115" s="755"/>
      <c r="J115" s="410"/>
      <c r="K115" s="41"/>
      <c r="L115" s="41"/>
      <c r="M115" s="41"/>
      <c r="N115" s="41"/>
      <c r="O115" s="41"/>
      <c r="P115" s="41"/>
      <c r="Q115" s="41"/>
      <c r="R115" s="41"/>
      <c r="S115" s="41"/>
      <c r="T115" s="41"/>
    </row>
    <row r="116" spans="1:20" x14ac:dyDescent="0.25">
      <c r="A116" s="410"/>
      <c r="B116" s="414"/>
      <c r="C116" s="414"/>
      <c r="D116" s="414"/>
      <c r="E116" s="414"/>
      <c r="F116" s="414"/>
      <c r="G116" s="414"/>
      <c r="H116" s="414"/>
      <c r="I116" s="414"/>
      <c r="J116" s="410"/>
      <c r="K116" s="41"/>
      <c r="L116" s="41"/>
      <c r="M116" s="41"/>
      <c r="N116" s="41"/>
      <c r="O116" s="41"/>
      <c r="P116" s="41"/>
      <c r="Q116" s="41"/>
      <c r="R116" s="41"/>
      <c r="S116" s="41"/>
      <c r="T116" s="41"/>
    </row>
    <row r="117" spans="1:20" x14ac:dyDescent="0.25">
      <c r="A117" s="473" t="s">
        <v>711</v>
      </c>
      <c r="B117" s="473"/>
      <c r="C117" s="473"/>
      <c r="D117" s="473"/>
      <c r="E117" s="473"/>
      <c r="F117" s="473"/>
      <c r="G117" s="473"/>
      <c r="H117" s="473"/>
      <c r="I117" s="473"/>
      <c r="J117" s="473"/>
      <c r="K117" s="41"/>
      <c r="L117" s="41"/>
      <c r="M117" s="41"/>
      <c r="N117" s="41"/>
      <c r="O117" s="41"/>
      <c r="P117" s="41"/>
      <c r="Q117" s="41"/>
      <c r="R117" s="41"/>
      <c r="S117" s="41"/>
      <c r="T117" s="41"/>
    </row>
    <row r="118" spans="1:20" x14ac:dyDescent="0.25">
      <c r="A118" s="738" t="s">
        <v>712</v>
      </c>
      <c r="B118" s="738"/>
      <c r="C118" s="738"/>
      <c r="D118" s="738"/>
      <c r="E118" s="738"/>
      <c r="F118" s="738"/>
      <c r="G118" s="738"/>
      <c r="H118" s="738"/>
      <c r="I118" s="738"/>
      <c r="J118" s="738"/>
      <c r="K118" s="41"/>
      <c r="L118" s="41"/>
      <c r="M118" s="41"/>
      <c r="N118" s="41"/>
      <c r="O118" s="41"/>
      <c r="P118" s="41"/>
      <c r="Q118" s="41"/>
      <c r="R118" s="41"/>
      <c r="S118" s="41"/>
      <c r="T118" s="41"/>
    </row>
    <row r="119" spans="1:20" x14ac:dyDescent="0.25">
      <c r="A119" s="738"/>
      <c r="B119" s="738"/>
      <c r="C119" s="738"/>
      <c r="D119" s="738"/>
      <c r="E119" s="738"/>
      <c r="F119" s="738"/>
      <c r="G119" s="738"/>
      <c r="H119" s="738"/>
      <c r="I119" s="738"/>
      <c r="J119" s="738"/>
      <c r="K119" s="41"/>
      <c r="L119" s="41"/>
      <c r="M119" s="41"/>
      <c r="N119" s="41"/>
      <c r="O119" s="41"/>
      <c r="P119" s="41"/>
      <c r="Q119" s="41"/>
      <c r="R119" s="41"/>
      <c r="S119" s="41"/>
      <c r="T119" s="41"/>
    </row>
    <row r="120" spans="1:20" x14ac:dyDescent="0.25">
      <c r="A120" s="738"/>
      <c r="B120" s="738"/>
      <c r="C120" s="738"/>
      <c r="D120" s="738"/>
      <c r="E120" s="738"/>
      <c r="F120" s="738"/>
      <c r="G120" s="738"/>
      <c r="H120" s="738"/>
      <c r="I120" s="738"/>
      <c r="J120" s="738"/>
      <c r="K120" s="41"/>
      <c r="L120" s="41"/>
      <c r="M120" s="41"/>
      <c r="N120" s="41"/>
      <c r="O120" s="41"/>
      <c r="P120" s="41"/>
      <c r="Q120" s="41"/>
      <c r="R120" s="41"/>
      <c r="S120" s="41"/>
      <c r="T120" s="41"/>
    </row>
    <row r="121" spans="1:20" ht="9.75" customHeight="1" x14ac:dyDescent="0.25">
      <c r="A121" s="56"/>
      <c r="B121" s="56"/>
      <c r="C121" s="56"/>
      <c r="D121" s="56"/>
      <c r="E121" s="56"/>
      <c r="F121" s="56"/>
      <c r="G121" s="56"/>
      <c r="H121" s="56"/>
      <c r="I121" s="56"/>
      <c r="J121" s="56"/>
      <c r="K121" s="41"/>
      <c r="L121" s="41"/>
      <c r="M121" s="41"/>
      <c r="N121" s="70"/>
      <c r="O121" s="70"/>
      <c r="P121" s="70"/>
      <c r="Q121" s="70"/>
      <c r="R121" s="70"/>
      <c r="S121" s="70"/>
      <c r="T121" s="41"/>
    </row>
    <row r="122" spans="1:20" ht="18.75" x14ac:dyDescent="0.25">
      <c r="A122" s="56"/>
      <c r="B122" s="56"/>
      <c r="C122" s="56"/>
      <c r="D122" s="56"/>
      <c r="E122" s="56"/>
      <c r="F122" s="56"/>
      <c r="G122" s="56"/>
      <c r="H122" s="56"/>
      <c r="I122" s="56"/>
      <c r="J122" s="58" t="str">
        <f>IF(CHECKING!$B$19=TRUE,10,"")</f>
        <v/>
      </c>
      <c r="K122" s="41"/>
      <c r="L122" s="41"/>
      <c r="M122" s="41"/>
      <c r="N122" s="558"/>
      <c r="O122" s="559"/>
      <c r="P122" s="559"/>
      <c r="Q122" s="559"/>
      <c r="R122" s="559"/>
      <c r="S122" s="560"/>
      <c r="T122" s="41"/>
    </row>
    <row r="123" spans="1:20" ht="15" customHeight="1" x14ac:dyDescent="0.25">
      <c r="A123" s="56"/>
      <c r="B123" s="760" t="s">
        <v>714</v>
      </c>
      <c r="C123" s="760"/>
      <c r="D123" s="760"/>
      <c r="E123" s="760"/>
      <c r="F123" s="760"/>
      <c r="G123" s="760"/>
      <c r="H123" s="760"/>
      <c r="I123" s="760"/>
      <c r="J123" s="56"/>
      <c r="K123" s="41"/>
      <c r="L123" s="41"/>
      <c r="M123" s="41"/>
      <c r="N123" s="561"/>
      <c r="O123" s="562"/>
      <c r="P123" s="562"/>
      <c r="Q123" s="562"/>
      <c r="R123" s="562"/>
      <c r="S123" s="563"/>
      <c r="T123" s="41"/>
    </row>
    <row r="124" spans="1:20" x14ac:dyDescent="0.25">
      <c r="A124" s="56"/>
      <c r="B124" s="760"/>
      <c r="C124" s="760"/>
      <c r="D124" s="760"/>
      <c r="E124" s="760"/>
      <c r="F124" s="760"/>
      <c r="G124" s="760"/>
      <c r="H124" s="760"/>
      <c r="I124" s="760"/>
      <c r="J124" s="56"/>
      <c r="K124" s="41"/>
      <c r="L124" s="41"/>
      <c r="M124" s="41"/>
      <c r="N124" s="561"/>
      <c r="O124" s="562"/>
      <c r="P124" s="562"/>
      <c r="Q124" s="562"/>
      <c r="R124" s="562"/>
      <c r="S124" s="563"/>
      <c r="T124" s="41"/>
    </row>
    <row r="125" spans="1:20" x14ac:dyDescent="0.25">
      <c r="A125" s="56"/>
      <c r="B125" s="770" t="s">
        <v>944</v>
      </c>
      <c r="C125" s="770"/>
      <c r="D125" s="770"/>
      <c r="E125" s="770"/>
      <c r="F125" s="770"/>
      <c r="G125" s="770"/>
      <c r="H125" s="297"/>
      <c r="I125" s="297"/>
      <c r="J125" s="56"/>
      <c r="K125" s="41"/>
      <c r="L125" s="41"/>
      <c r="M125" s="41"/>
      <c r="N125" s="561"/>
      <c r="O125" s="562"/>
      <c r="P125" s="562"/>
      <c r="Q125" s="562"/>
      <c r="R125" s="562"/>
      <c r="S125" s="563"/>
      <c r="T125" s="41"/>
    </row>
    <row r="126" spans="1:20" ht="18.75" x14ac:dyDescent="0.25">
      <c r="A126" s="56"/>
      <c r="B126" s="56"/>
      <c r="C126" s="56"/>
      <c r="D126" s="56"/>
      <c r="E126" s="56"/>
      <c r="F126" s="56"/>
      <c r="G126" s="56"/>
      <c r="H126" s="56"/>
      <c r="I126" s="56"/>
      <c r="J126" s="58" t="str">
        <f>IF(CHECKING!$B$20=TRUE,10,"")</f>
        <v/>
      </c>
      <c r="K126" s="41"/>
      <c r="L126" s="41"/>
      <c r="M126" s="41"/>
      <c r="N126" s="561"/>
      <c r="O126" s="562"/>
      <c r="P126" s="562"/>
      <c r="Q126" s="562"/>
      <c r="R126" s="562"/>
      <c r="S126" s="563"/>
      <c r="T126" s="41"/>
    </row>
    <row r="127" spans="1:20" x14ac:dyDescent="0.25">
      <c r="A127" s="56"/>
      <c r="B127" s="56"/>
      <c r="C127" s="56"/>
      <c r="D127" s="56"/>
      <c r="E127" s="56"/>
      <c r="F127" s="56"/>
      <c r="G127" s="56"/>
      <c r="H127" s="56"/>
      <c r="I127" s="56"/>
      <c r="J127" s="56"/>
      <c r="K127" s="41"/>
      <c r="L127" s="41"/>
      <c r="M127" s="41"/>
      <c r="N127" s="561"/>
      <c r="O127" s="562"/>
      <c r="P127" s="562"/>
      <c r="Q127" s="562"/>
      <c r="R127" s="562"/>
      <c r="S127" s="563"/>
      <c r="T127" s="41"/>
    </row>
    <row r="128" spans="1:20" ht="18.75" x14ac:dyDescent="0.25">
      <c r="A128" s="56"/>
      <c r="B128" s="56"/>
      <c r="C128" s="56"/>
      <c r="D128" s="56"/>
      <c r="E128" s="56"/>
      <c r="F128" s="56"/>
      <c r="G128" s="56"/>
      <c r="H128" s="56"/>
      <c r="I128" s="56"/>
      <c r="J128" s="58"/>
      <c r="K128" s="41"/>
      <c r="L128" s="41"/>
      <c r="M128" s="41"/>
      <c r="N128" s="561"/>
      <c r="O128" s="562"/>
      <c r="P128" s="562"/>
      <c r="Q128" s="562"/>
      <c r="R128" s="562"/>
      <c r="S128" s="563"/>
      <c r="T128" s="41"/>
    </row>
    <row r="129" spans="1:20" ht="18.75" x14ac:dyDescent="0.25">
      <c r="A129" s="56"/>
      <c r="B129" s="56"/>
      <c r="C129" s="56"/>
      <c r="D129" s="56"/>
      <c r="E129" s="56"/>
      <c r="F129" s="56"/>
      <c r="G129" s="56"/>
      <c r="H129" s="56"/>
      <c r="I129" s="56"/>
      <c r="J129" s="58" t="str">
        <f>IF(CHECKING!$B$21=TRUE,10,"")</f>
        <v/>
      </c>
      <c r="K129" s="41"/>
      <c r="L129" s="41"/>
      <c r="M129" s="41"/>
      <c r="N129" s="561"/>
      <c r="O129" s="562"/>
      <c r="P129" s="562"/>
      <c r="Q129" s="562"/>
      <c r="R129" s="562"/>
      <c r="S129" s="563"/>
      <c r="T129" s="41"/>
    </row>
    <row r="130" spans="1:20" x14ac:dyDescent="0.25">
      <c r="A130" s="56"/>
      <c r="B130" s="56"/>
      <c r="C130" s="56"/>
      <c r="D130" s="56"/>
      <c r="E130" s="56"/>
      <c r="F130" s="56"/>
      <c r="G130" s="56"/>
      <c r="H130" s="56"/>
      <c r="I130" s="56"/>
      <c r="J130" s="56"/>
      <c r="K130" s="41"/>
      <c r="L130" s="41"/>
      <c r="M130" s="41"/>
      <c r="N130" s="561"/>
      <c r="O130" s="562"/>
      <c r="P130" s="562"/>
      <c r="Q130" s="562"/>
      <c r="R130" s="562"/>
      <c r="S130" s="563"/>
      <c r="T130" s="41"/>
    </row>
    <row r="131" spans="1:20" ht="15" customHeight="1" x14ac:dyDescent="0.25">
      <c r="A131" s="56"/>
      <c r="B131" s="754" t="s">
        <v>1000</v>
      </c>
      <c r="C131" s="754"/>
      <c r="D131" s="754"/>
      <c r="E131" s="754"/>
      <c r="F131" s="754"/>
      <c r="G131" s="754"/>
      <c r="H131" s="754"/>
      <c r="I131" s="754"/>
      <c r="J131" s="56"/>
      <c r="K131" s="41"/>
      <c r="L131" s="41"/>
      <c r="M131" s="41"/>
      <c r="N131" s="561"/>
      <c r="O131" s="562"/>
      <c r="P131" s="562"/>
      <c r="Q131" s="562"/>
      <c r="R131" s="562"/>
      <c r="S131" s="563"/>
      <c r="T131" s="41"/>
    </row>
    <row r="132" spans="1:20" x14ac:dyDescent="0.25">
      <c r="A132" s="56"/>
      <c r="B132" s="754"/>
      <c r="C132" s="754"/>
      <c r="D132" s="754"/>
      <c r="E132" s="754"/>
      <c r="F132" s="754"/>
      <c r="G132" s="754"/>
      <c r="H132" s="754"/>
      <c r="I132" s="754"/>
      <c r="J132" s="56"/>
      <c r="K132" s="41"/>
      <c r="L132" s="41"/>
      <c r="M132" s="41"/>
      <c r="N132" s="561"/>
      <c r="O132" s="562"/>
      <c r="P132" s="562"/>
      <c r="Q132" s="562"/>
      <c r="R132" s="562"/>
      <c r="S132" s="563"/>
      <c r="T132" s="41"/>
    </row>
    <row r="133" spans="1:20" x14ac:dyDescent="0.25">
      <c r="A133" s="56"/>
      <c r="B133" s="754"/>
      <c r="C133" s="754"/>
      <c r="D133" s="754"/>
      <c r="E133" s="754"/>
      <c r="F133" s="754"/>
      <c r="G133" s="754"/>
      <c r="H133" s="754"/>
      <c r="I133" s="754"/>
      <c r="J133" s="56"/>
      <c r="K133" s="41"/>
      <c r="L133" s="41"/>
      <c r="M133" s="41"/>
      <c r="N133" s="561"/>
      <c r="O133" s="562"/>
      <c r="P133" s="562"/>
      <c r="Q133" s="562"/>
      <c r="R133" s="562"/>
      <c r="S133" s="563"/>
      <c r="T133" s="41"/>
    </row>
    <row r="134" spans="1:20" x14ac:dyDescent="0.25">
      <c r="A134" s="56"/>
      <c r="B134" s="545" t="s">
        <v>1186</v>
      </c>
      <c r="C134" s="545"/>
      <c r="D134" s="545"/>
      <c r="E134" s="545"/>
      <c r="F134" s="545"/>
      <c r="G134" s="67"/>
      <c r="H134" s="56"/>
      <c r="I134" s="56"/>
      <c r="J134" s="56"/>
      <c r="K134" s="41"/>
      <c r="L134" s="41"/>
      <c r="M134" s="41"/>
      <c r="N134" s="561"/>
      <c r="O134" s="562"/>
      <c r="P134" s="562"/>
      <c r="Q134" s="562"/>
      <c r="R134" s="562"/>
      <c r="S134" s="563"/>
      <c r="T134" s="41"/>
    </row>
    <row r="135" spans="1:20" x14ac:dyDescent="0.25">
      <c r="A135" s="56"/>
      <c r="B135" s="54"/>
      <c r="C135" s="54"/>
      <c r="D135" s="54"/>
      <c r="E135" s="54"/>
      <c r="F135" s="54"/>
      <c r="G135" s="67"/>
      <c r="H135" s="56"/>
      <c r="I135" s="56"/>
      <c r="J135" s="56"/>
      <c r="K135" s="41"/>
      <c r="L135" s="41"/>
      <c r="M135" s="41"/>
      <c r="N135" s="561"/>
      <c r="O135" s="562"/>
      <c r="P135" s="562"/>
      <c r="Q135" s="562"/>
      <c r="R135" s="562"/>
      <c r="S135" s="563"/>
      <c r="T135" s="41"/>
    </row>
    <row r="136" spans="1:20" ht="15" customHeight="1" x14ac:dyDescent="0.25">
      <c r="A136" s="56"/>
      <c r="B136" s="56"/>
      <c r="C136" s="56"/>
      <c r="D136" s="56"/>
      <c r="E136" s="56"/>
      <c r="F136" s="56"/>
      <c r="G136" s="56"/>
      <c r="H136" s="56"/>
      <c r="I136" s="56"/>
      <c r="J136" s="58" t="str">
        <f>IF(CHECKING!$B$22=TRUE,10,"")</f>
        <v/>
      </c>
      <c r="K136" s="41"/>
      <c r="L136" s="41"/>
      <c r="M136" s="41"/>
      <c r="N136" s="561"/>
      <c r="O136" s="562"/>
      <c r="P136" s="562"/>
      <c r="Q136" s="562"/>
      <c r="R136" s="562"/>
      <c r="S136" s="563"/>
      <c r="T136" s="41"/>
    </row>
    <row r="137" spans="1:20" ht="15" customHeight="1" x14ac:dyDescent="0.25">
      <c r="A137" s="56"/>
      <c r="B137" s="56"/>
      <c r="C137" s="56"/>
      <c r="D137" s="56"/>
      <c r="E137" s="56"/>
      <c r="F137" s="56"/>
      <c r="G137" s="56"/>
      <c r="H137" s="56"/>
      <c r="I137" s="56"/>
      <c r="J137" s="58"/>
      <c r="K137" s="41"/>
      <c r="L137" s="41"/>
      <c r="M137" s="41"/>
      <c r="N137" s="561"/>
      <c r="O137" s="562"/>
      <c r="P137" s="562"/>
      <c r="Q137" s="562"/>
      <c r="R137" s="562"/>
      <c r="S137" s="563"/>
      <c r="T137" s="41"/>
    </row>
    <row r="138" spans="1:20" x14ac:dyDescent="0.25">
      <c r="A138" s="56"/>
      <c r="B138" s="760" t="s">
        <v>720</v>
      </c>
      <c r="C138" s="760"/>
      <c r="D138" s="760"/>
      <c r="E138" s="760"/>
      <c r="F138" s="760"/>
      <c r="G138" s="760"/>
      <c r="H138" s="760"/>
      <c r="I138" s="760"/>
      <c r="J138" s="56"/>
      <c r="K138" s="41"/>
      <c r="L138" s="41"/>
      <c r="M138" s="41"/>
      <c r="N138" s="561"/>
      <c r="O138" s="562"/>
      <c r="P138" s="562"/>
      <c r="Q138" s="562"/>
      <c r="R138" s="562"/>
      <c r="S138" s="563"/>
      <c r="T138" s="41"/>
    </row>
    <row r="139" spans="1:20" ht="15" customHeight="1" x14ac:dyDescent="0.25">
      <c r="A139" s="56"/>
      <c r="B139" s="760"/>
      <c r="C139" s="760"/>
      <c r="D139" s="760"/>
      <c r="E139" s="760"/>
      <c r="F139" s="760"/>
      <c r="G139" s="760"/>
      <c r="H139" s="760"/>
      <c r="I139" s="760"/>
      <c r="J139" s="56"/>
      <c r="K139" s="41"/>
      <c r="L139" s="41"/>
      <c r="M139" s="41"/>
      <c r="N139" s="561"/>
      <c r="O139" s="562"/>
      <c r="P139" s="562"/>
      <c r="Q139" s="562"/>
      <c r="R139" s="562"/>
      <c r="S139" s="563"/>
      <c r="T139" s="41"/>
    </row>
    <row r="140" spans="1:20" ht="15.75" thickBot="1" x14ac:dyDescent="0.3">
      <c r="A140" s="56"/>
      <c r="B140" s="770" t="s">
        <v>719</v>
      </c>
      <c r="C140" s="770"/>
      <c r="D140" s="770"/>
      <c r="E140" s="770"/>
      <c r="F140" s="770"/>
      <c r="G140" s="770"/>
      <c r="H140" s="68"/>
      <c r="I140" s="68"/>
      <c r="J140" s="56"/>
      <c r="K140" s="41"/>
      <c r="L140" s="41"/>
      <c r="M140" s="41"/>
      <c r="N140" s="561"/>
      <c r="O140" s="562"/>
      <c r="P140" s="562"/>
      <c r="Q140" s="562"/>
      <c r="R140" s="562"/>
      <c r="S140" s="563"/>
      <c r="T140" s="41"/>
    </row>
    <row r="141" spans="1:20" ht="15.75" thickBot="1" x14ac:dyDescent="0.3">
      <c r="A141" s="757" t="s">
        <v>892</v>
      </c>
      <c r="B141" s="757"/>
      <c r="C141" s="757"/>
      <c r="D141" s="757"/>
      <c r="E141" s="757"/>
      <c r="F141" s="757"/>
      <c r="G141" s="758"/>
      <c r="H141" s="625"/>
      <c r="I141" s="627"/>
      <c r="J141" s="56"/>
      <c r="K141" s="41"/>
      <c r="L141" s="41"/>
      <c r="M141" s="41"/>
      <c r="N141" s="561"/>
      <c r="O141" s="562"/>
      <c r="P141" s="562"/>
      <c r="Q141" s="562"/>
      <c r="R141" s="562"/>
      <c r="S141" s="563"/>
      <c r="T141" s="41"/>
    </row>
    <row r="142" spans="1:20" ht="15" customHeight="1" x14ac:dyDescent="0.25">
      <c r="A142" s="56"/>
      <c r="B142" s="56"/>
      <c r="C142" s="56"/>
      <c r="D142" s="56"/>
      <c r="E142" s="56"/>
      <c r="F142" s="56"/>
      <c r="G142" s="56"/>
      <c r="H142" s="56"/>
      <c r="I142" s="56"/>
      <c r="J142" s="56"/>
      <c r="K142" s="41"/>
      <c r="L142" s="41"/>
      <c r="M142" s="41"/>
      <c r="N142" s="561"/>
      <c r="O142" s="562"/>
      <c r="P142" s="562"/>
      <c r="Q142" s="562"/>
      <c r="R142" s="562"/>
      <c r="S142" s="563"/>
      <c r="T142" s="41"/>
    </row>
    <row r="143" spans="1:20" ht="18.75" x14ac:dyDescent="0.25">
      <c r="A143" s="56"/>
      <c r="B143" s="56"/>
      <c r="C143" s="56"/>
      <c r="D143" s="56"/>
      <c r="E143" s="56"/>
      <c r="F143" s="56"/>
      <c r="G143" s="56"/>
      <c r="H143" s="56"/>
      <c r="I143" s="56"/>
      <c r="J143" s="58" t="str">
        <f>IF(CHECKING!$B$23=TRUE,10,"")</f>
        <v/>
      </c>
      <c r="K143" s="41"/>
      <c r="L143" s="41"/>
      <c r="M143" s="41"/>
      <c r="N143" s="561"/>
      <c r="O143" s="562"/>
      <c r="P143" s="562"/>
      <c r="Q143" s="562"/>
      <c r="R143" s="562"/>
      <c r="S143" s="563"/>
      <c r="T143" s="41"/>
    </row>
    <row r="144" spans="1:20" ht="15" customHeight="1" x14ac:dyDescent="0.25">
      <c r="A144" s="56"/>
      <c r="B144" s="602" t="s">
        <v>1080</v>
      </c>
      <c r="C144" s="602"/>
      <c r="D144" s="602"/>
      <c r="E144" s="602"/>
      <c r="F144" s="602"/>
      <c r="G144" s="602"/>
      <c r="H144" s="602"/>
      <c r="I144" s="602"/>
      <c r="J144" s="56"/>
      <c r="K144" s="41"/>
      <c r="L144" s="41"/>
      <c r="M144" s="41"/>
      <c r="N144" s="561"/>
      <c r="O144" s="562"/>
      <c r="P144" s="562"/>
      <c r="Q144" s="562"/>
      <c r="R144" s="562"/>
      <c r="S144" s="563"/>
      <c r="T144" s="41"/>
    </row>
    <row r="145" spans="1:20" x14ac:dyDescent="0.25">
      <c r="A145" s="307"/>
      <c r="B145" s="602"/>
      <c r="C145" s="602"/>
      <c r="D145" s="602"/>
      <c r="E145" s="602"/>
      <c r="F145" s="602"/>
      <c r="G145" s="602"/>
      <c r="H145" s="602"/>
      <c r="I145" s="602"/>
      <c r="J145" s="56"/>
      <c r="K145" s="41"/>
      <c r="L145" s="41"/>
      <c r="M145" s="41"/>
      <c r="N145" s="564"/>
      <c r="O145" s="565"/>
      <c r="P145" s="565"/>
      <c r="Q145" s="565"/>
      <c r="R145" s="565"/>
      <c r="S145" s="566"/>
      <c r="T145" s="41"/>
    </row>
    <row r="146" spans="1:20" ht="9.75" customHeight="1" x14ac:dyDescent="0.25">
      <c r="A146" s="56"/>
      <c r="B146" s="56"/>
      <c r="C146" s="56"/>
      <c r="D146" s="56"/>
      <c r="E146" s="56"/>
      <c r="F146" s="56"/>
      <c r="G146" s="56"/>
      <c r="H146" s="56"/>
      <c r="I146" s="56"/>
      <c r="J146" s="56"/>
      <c r="K146" s="41"/>
      <c r="L146" s="41"/>
      <c r="M146" s="41"/>
      <c r="N146" s="41"/>
      <c r="O146" s="41"/>
      <c r="P146" s="41"/>
      <c r="Q146" s="41"/>
      <c r="R146" s="41"/>
      <c r="S146" s="41"/>
      <c r="T146" s="41"/>
    </row>
    <row r="147" spans="1:20" ht="15" customHeight="1" x14ac:dyDescent="0.25">
      <c r="A147" s="772" t="s">
        <v>721</v>
      </c>
      <c r="B147" s="772"/>
      <c r="C147" s="772"/>
      <c r="D147" s="772"/>
      <c r="E147" s="772"/>
      <c r="F147" s="772"/>
      <c r="G147" s="772"/>
      <c r="H147" s="772"/>
      <c r="I147" s="772"/>
      <c r="J147" s="772"/>
      <c r="K147" s="41"/>
      <c r="L147" s="41"/>
      <c r="M147" s="41"/>
      <c r="N147" s="41"/>
      <c r="O147" s="41"/>
      <c r="P147" s="41"/>
      <c r="Q147" s="41"/>
      <c r="R147" s="41"/>
      <c r="S147" s="41"/>
      <c r="T147" s="41"/>
    </row>
    <row r="148" spans="1:20" x14ac:dyDescent="0.25">
      <c r="A148" s="770" t="s">
        <v>944</v>
      </c>
      <c r="B148" s="770"/>
      <c r="C148" s="770"/>
      <c r="D148" s="770"/>
      <c r="E148" s="770"/>
      <c r="F148" s="770"/>
      <c r="G148" s="770"/>
      <c r="H148" s="770"/>
      <c r="I148" s="770"/>
      <c r="J148" s="770"/>
      <c r="K148" s="41"/>
      <c r="L148" s="41"/>
      <c r="M148" s="41"/>
      <c r="N148" s="41"/>
      <c r="O148" s="41"/>
      <c r="P148" s="41"/>
      <c r="Q148" s="41"/>
      <c r="R148" s="41"/>
      <c r="S148" s="41"/>
      <c r="T148" s="41"/>
    </row>
    <row r="149" spans="1:20" x14ac:dyDescent="0.25">
      <c r="A149" s="759" t="str">
        <f>IF(AND(CHECKING!$B$19=TRUE,ISERROR(VLOOKUP(CHECKING!$D$29,Dropdowns!$K$5:$K$23,1,FALSE)),ISERROR(VLOOKUP(CHECKING!$D$33,Dropdowns!$K$5:$K$23,1,FALSE)),ISERROR(VLOOKUP(CHECKING!$D$34,Dropdowns!$K$5:$K$23,1,FALSE))),IF(AND(OR(CHECKING!$D$29="",CHECKING!$D$29="- select -"),OR(CHECKING!$D$33="",CHECKING!$D$33="- select -"),OR(CHECKING!$D$34="",CHECKING!$D$34="- select -")),"","None of the nationalities listed are on the English speaking country list!"),"")</f>
        <v/>
      </c>
      <c r="B149" s="759"/>
      <c r="C149" s="759"/>
      <c r="D149" s="759"/>
      <c r="E149" s="759"/>
      <c r="F149" s="759"/>
      <c r="G149" s="759"/>
      <c r="H149" s="759"/>
      <c r="I149" s="759"/>
      <c r="J149" s="759"/>
      <c r="K149" s="41"/>
      <c r="L149" s="41"/>
      <c r="M149" s="41"/>
      <c r="N149" s="41"/>
      <c r="O149" s="41"/>
      <c r="P149" s="41"/>
      <c r="Q149" s="41"/>
      <c r="R149" s="41"/>
      <c r="S149" s="41"/>
      <c r="T149" s="41"/>
    </row>
    <row r="150" spans="1:20" x14ac:dyDescent="0.25">
      <c r="A150" s="473" t="s">
        <v>725</v>
      </c>
      <c r="B150" s="473"/>
      <c r="C150" s="473"/>
      <c r="D150" s="473"/>
      <c r="E150" s="473"/>
      <c r="F150" s="473"/>
      <c r="G150" s="473"/>
      <c r="H150" s="473"/>
      <c r="I150" s="473"/>
      <c r="J150" s="473"/>
      <c r="K150" s="41"/>
      <c r="L150" s="41"/>
      <c r="M150" s="41"/>
      <c r="N150" s="41"/>
      <c r="O150" s="41"/>
      <c r="P150" s="41"/>
      <c r="Q150" s="41"/>
      <c r="R150" s="41"/>
      <c r="S150" s="41"/>
      <c r="T150" s="41"/>
    </row>
    <row r="151" spans="1:20" x14ac:dyDescent="0.25">
      <c r="A151" s="756" t="s">
        <v>726</v>
      </c>
      <c r="B151" s="756"/>
      <c r="C151" s="756"/>
      <c r="D151" s="756"/>
      <c r="E151" s="756"/>
      <c r="F151" s="756"/>
      <c r="G151" s="756"/>
      <c r="H151" s="756"/>
      <c r="I151" s="756"/>
      <c r="J151" s="756"/>
      <c r="K151" s="41"/>
      <c r="L151" s="41"/>
      <c r="M151" s="41"/>
      <c r="N151" s="41"/>
      <c r="O151" s="41"/>
      <c r="P151" s="41"/>
      <c r="Q151" s="41"/>
      <c r="R151" s="41"/>
      <c r="S151" s="41"/>
      <c r="T151" s="41"/>
    </row>
    <row r="152" spans="1:20" s="300" customFormat="1" ht="18" customHeight="1" thickBot="1" x14ac:dyDescent="0.3">
      <c r="A152" s="756"/>
      <c r="B152" s="756"/>
      <c r="C152" s="756"/>
      <c r="D152" s="756"/>
      <c r="E152" s="756"/>
      <c r="F152" s="756"/>
      <c r="G152" s="756"/>
      <c r="H152" s="756"/>
      <c r="I152" s="756"/>
      <c r="J152" s="756"/>
      <c r="K152" s="299"/>
      <c r="L152" s="299"/>
      <c r="M152" s="299"/>
      <c r="N152" s="299"/>
      <c r="O152" s="299"/>
      <c r="P152" s="299"/>
      <c r="Q152" s="299"/>
      <c r="R152" s="299"/>
      <c r="S152" s="299"/>
      <c r="T152" s="299"/>
    </row>
    <row r="153" spans="1:20" ht="15.75" thickBot="1" x14ac:dyDescent="0.3">
      <c r="A153" s="763" t="s">
        <v>727</v>
      </c>
      <c r="B153" s="763"/>
      <c r="C153" s="763"/>
      <c r="D153" s="763"/>
      <c r="E153" s="763"/>
      <c r="F153" s="763"/>
      <c r="G153" s="763"/>
      <c r="H153" s="45"/>
      <c r="I153" s="761" t="s">
        <v>379</v>
      </c>
      <c r="J153" s="762"/>
      <c r="K153" s="41"/>
      <c r="L153" s="41"/>
      <c r="M153" s="41"/>
      <c r="N153" s="558"/>
      <c r="O153" s="559"/>
      <c r="P153" s="559"/>
      <c r="Q153" s="559"/>
      <c r="R153" s="559"/>
      <c r="S153" s="560"/>
      <c r="T153" s="41"/>
    </row>
    <row r="154" spans="1:20" ht="15.75" thickBot="1" x14ac:dyDescent="0.3">
      <c r="A154" s="763" t="s">
        <v>728</v>
      </c>
      <c r="B154" s="763"/>
      <c r="C154" s="763"/>
      <c r="D154" s="763"/>
      <c r="E154" s="504"/>
      <c r="F154" s="505"/>
      <c r="G154" s="505"/>
      <c r="H154" s="505"/>
      <c r="I154" s="505"/>
      <c r="J154" s="506"/>
      <c r="K154" s="41"/>
      <c r="L154" s="41"/>
      <c r="M154" s="41"/>
      <c r="N154" s="561"/>
      <c r="O154" s="562"/>
      <c r="P154" s="562"/>
      <c r="Q154" s="562"/>
      <c r="R154" s="562"/>
      <c r="S154" s="563"/>
      <c r="T154" s="41"/>
    </row>
    <row r="155" spans="1:20" ht="15.75" thickBot="1" x14ac:dyDescent="0.3">
      <c r="A155" s="764" t="s">
        <v>729</v>
      </c>
      <c r="B155" s="764"/>
      <c r="C155" s="764"/>
      <c r="D155" s="764"/>
      <c r="E155" s="504"/>
      <c r="F155" s="505"/>
      <c r="G155" s="505"/>
      <c r="H155" s="505"/>
      <c r="I155" s="505"/>
      <c r="J155" s="506"/>
      <c r="K155" s="41"/>
      <c r="L155" s="41"/>
      <c r="M155" s="41"/>
      <c r="N155" s="561"/>
      <c r="O155" s="562"/>
      <c r="P155" s="562"/>
      <c r="Q155" s="562"/>
      <c r="R155" s="562"/>
      <c r="S155" s="563"/>
      <c r="T155" s="41"/>
    </row>
    <row r="156" spans="1:20" ht="15.75" thickBot="1" x14ac:dyDescent="0.3">
      <c r="A156" s="764" t="s">
        <v>730</v>
      </c>
      <c r="B156" s="764"/>
      <c r="C156" s="764"/>
      <c r="D156" s="764"/>
      <c r="E156" s="504"/>
      <c r="F156" s="505"/>
      <c r="G156" s="505"/>
      <c r="H156" s="505"/>
      <c r="I156" s="505"/>
      <c r="J156" s="506"/>
      <c r="K156" s="41"/>
      <c r="L156" s="41"/>
      <c r="M156" s="41"/>
      <c r="N156" s="564"/>
      <c r="O156" s="565"/>
      <c r="P156" s="565"/>
      <c r="Q156" s="565"/>
      <c r="R156" s="565"/>
      <c r="S156" s="566"/>
      <c r="T156" s="41"/>
    </row>
    <row r="157" spans="1:20" ht="15.75" thickBot="1" x14ac:dyDescent="0.3">
      <c r="A157" s="45"/>
      <c r="B157" s="45"/>
      <c r="C157" s="45"/>
      <c r="D157" s="45"/>
      <c r="E157" s="742" t="str">
        <f>IF(AND($E$156&lt;&gt;"",$E$155&lt;&gt;"",ISERROR(FIND(" ",TRIM($E$155)))),"Please check this is a previous name, not a middle name","")</f>
        <v/>
      </c>
      <c r="F157" s="742"/>
      <c r="G157" s="742"/>
      <c r="H157" s="742"/>
      <c r="I157" s="742"/>
      <c r="J157" s="742"/>
      <c r="K157" s="41"/>
      <c r="L157" s="41"/>
      <c r="M157" s="41"/>
      <c r="N157" s="41"/>
      <c r="O157" s="41"/>
      <c r="P157" s="41"/>
      <c r="Q157" s="41"/>
      <c r="R157" s="41"/>
      <c r="S157" s="41"/>
      <c r="T157" s="41"/>
    </row>
    <row r="158" spans="1:20" ht="15.75" thickBot="1" x14ac:dyDescent="0.3">
      <c r="A158" s="72" t="s">
        <v>731</v>
      </c>
      <c r="B158" s="45"/>
      <c r="C158" s="45"/>
      <c r="D158" s="45"/>
      <c r="E158" s="504"/>
      <c r="F158" s="505"/>
      <c r="G158" s="505"/>
      <c r="H158" s="505"/>
      <c r="I158" s="505"/>
      <c r="J158" s="506"/>
      <c r="K158" s="41"/>
      <c r="L158" s="41"/>
      <c r="M158" s="41"/>
      <c r="N158" s="558"/>
      <c r="O158" s="559"/>
      <c r="P158" s="559"/>
      <c r="Q158" s="559"/>
      <c r="R158" s="559"/>
      <c r="S158" s="560"/>
      <c r="T158" s="41"/>
    </row>
    <row r="159" spans="1:20" ht="15.75" thickBot="1" x14ac:dyDescent="0.3">
      <c r="A159" s="72" t="s">
        <v>732</v>
      </c>
      <c r="B159" s="45"/>
      <c r="C159" s="45"/>
      <c r="D159" s="45"/>
      <c r="E159" s="504"/>
      <c r="F159" s="505"/>
      <c r="G159" s="505"/>
      <c r="H159" s="505"/>
      <c r="I159" s="505"/>
      <c r="J159" s="506"/>
      <c r="K159" s="41"/>
      <c r="L159" s="41"/>
      <c r="M159" s="41"/>
      <c r="N159" s="561"/>
      <c r="O159" s="562"/>
      <c r="P159" s="562"/>
      <c r="Q159" s="562"/>
      <c r="R159" s="562"/>
      <c r="S159" s="563"/>
      <c r="T159" s="41"/>
    </row>
    <row r="160" spans="1:20" ht="15.75" thickBot="1" x14ac:dyDescent="0.3">
      <c r="A160" s="72" t="s">
        <v>733</v>
      </c>
      <c r="B160" s="45"/>
      <c r="C160" s="45"/>
      <c r="D160" s="45"/>
      <c r="E160" s="504"/>
      <c r="F160" s="505"/>
      <c r="G160" s="505"/>
      <c r="H160" s="505"/>
      <c r="I160" s="505"/>
      <c r="J160" s="506"/>
      <c r="K160" s="41"/>
      <c r="L160" s="41"/>
      <c r="M160" s="41"/>
      <c r="N160" s="564"/>
      <c r="O160" s="565"/>
      <c r="P160" s="565"/>
      <c r="Q160" s="565"/>
      <c r="R160" s="565"/>
      <c r="S160" s="566"/>
      <c r="T160" s="41"/>
    </row>
    <row r="161" spans="1:20" ht="15.75" thickBot="1" x14ac:dyDescent="0.3">
      <c r="A161" s="45"/>
      <c r="B161" s="687" t="str">
        <f>IF(OR(ISTEXT(VLOOKUP(CHECKING!$D$29,Dropdowns!$I$5:$I$8,1,FALSE)),ISTEXT(VLOOKUP(CHECKING!$D$33,Dropdowns!$I$5:$I$8,1,FALSE)),ISTEXT(VLOOKUP(CHECKING!$D$34,Dropdowns!$I$5:$I$8,1,FALSE))),"NOTE: Applicant is a British or Irish national - Skilled Worker visa not required","")</f>
        <v/>
      </c>
      <c r="C161" s="687"/>
      <c r="D161" s="687"/>
      <c r="E161" s="687"/>
      <c r="F161" s="687"/>
      <c r="G161" s="687"/>
      <c r="H161" s="687"/>
      <c r="I161" s="687"/>
      <c r="J161" s="45"/>
      <c r="K161" s="41"/>
      <c r="L161" s="41"/>
      <c r="M161" s="41"/>
      <c r="N161" s="41"/>
      <c r="O161" s="41"/>
      <c r="P161" s="41"/>
      <c r="Q161" s="41"/>
      <c r="R161" s="41"/>
      <c r="S161" s="41"/>
      <c r="T161" s="41"/>
    </row>
    <row r="162" spans="1:20" ht="15.75" thickBot="1" x14ac:dyDescent="0.3">
      <c r="A162" s="72" t="s">
        <v>734</v>
      </c>
      <c r="B162" s="45"/>
      <c r="C162" s="45"/>
      <c r="D162" s="45"/>
      <c r="E162" s="45"/>
      <c r="F162" s="73" t="s">
        <v>379</v>
      </c>
      <c r="G162" s="45"/>
      <c r="H162" s="45"/>
      <c r="I162" s="45"/>
      <c r="J162" s="45"/>
      <c r="K162" s="41"/>
      <c r="L162" s="41"/>
      <c r="M162" s="41"/>
      <c r="N162" s="558"/>
      <c r="O162" s="559"/>
      <c r="P162" s="559"/>
      <c r="Q162" s="559"/>
      <c r="R162" s="559"/>
      <c r="S162" s="560"/>
      <c r="T162" s="41"/>
    </row>
    <row r="163" spans="1:20" ht="15.75" thickBot="1" x14ac:dyDescent="0.3">
      <c r="A163" s="72" t="s">
        <v>735</v>
      </c>
      <c r="B163" s="45"/>
      <c r="C163" s="45"/>
      <c r="D163" s="45"/>
      <c r="E163" s="788"/>
      <c r="F163" s="789"/>
      <c r="G163" s="789"/>
      <c r="H163" s="789"/>
      <c r="I163" s="789"/>
      <c r="J163" s="790"/>
      <c r="K163" s="41"/>
      <c r="L163" s="41"/>
      <c r="M163" s="41"/>
      <c r="N163" s="561"/>
      <c r="O163" s="562"/>
      <c r="P163" s="562"/>
      <c r="Q163" s="562"/>
      <c r="R163" s="562"/>
      <c r="S163" s="563"/>
      <c r="T163" s="41"/>
    </row>
    <row r="164" spans="1:20" ht="15.75" thickBot="1" x14ac:dyDescent="0.3">
      <c r="A164" s="72" t="s">
        <v>736</v>
      </c>
      <c r="B164" s="45"/>
      <c r="C164" s="45"/>
      <c r="D164" s="45"/>
      <c r="E164" s="788"/>
      <c r="F164" s="789"/>
      <c r="G164" s="789"/>
      <c r="H164" s="789"/>
      <c r="I164" s="789"/>
      <c r="J164" s="790"/>
      <c r="K164" s="41"/>
      <c r="L164" s="41"/>
      <c r="M164" s="41"/>
      <c r="N164" s="564"/>
      <c r="O164" s="565"/>
      <c r="P164" s="565"/>
      <c r="Q164" s="565"/>
      <c r="R164" s="565"/>
      <c r="S164" s="566"/>
      <c r="T164" s="41"/>
    </row>
    <row r="165" spans="1:20" x14ac:dyDescent="0.25">
      <c r="A165" s="695" t="str">
        <f>IF(OR(AND(CHECKING!$D$33&lt;&gt;"- select -",CHECKING!$D$33&lt;&gt;""),AND(CHECKING!$D$34&lt;&gt;"- select -",CHECKING!$D$34&lt;&gt;"")),"Please provide copies of passports for each nationality","")</f>
        <v/>
      </c>
      <c r="B165" s="695"/>
      <c r="C165" s="695"/>
      <c r="D165" s="695"/>
      <c r="E165" s="695"/>
      <c r="F165" s="695"/>
      <c r="G165" s="695"/>
      <c r="H165" s="695"/>
      <c r="I165" s="695"/>
      <c r="J165" s="695"/>
      <c r="K165" s="41"/>
      <c r="L165" s="41"/>
      <c r="M165" s="41"/>
      <c r="N165" s="41"/>
      <c r="O165" s="41"/>
      <c r="P165" s="41"/>
      <c r="Q165" s="41"/>
      <c r="R165" s="41"/>
      <c r="S165" s="41"/>
      <c r="T165" s="41"/>
    </row>
    <row r="166" spans="1:20" ht="15.75" thickBot="1" x14ac:dyDescent="0.3">
      <c r="A166" s="45"/>
      <c r="B166" s="45"/>
      <c r="C166" s="45"/>
      <c r="D166" s="45"/>
      <c r="E166" s="45"/>
      <c r="F166" s="45"/>
      <c r="G166" s="45"/>
      <c r="H166" s="45"/>
      <c r="I166" s="45"/>
      <c r="J166" s="45"/>
      <c r="K166" s="41"/>
      <c r="L166" s="41"/>
      <c r="M166" s="41"/>
      <c r="N166" s="41"/>
      <c r="O166" s="41"/>
      <c r="P166" s="41"/>
      <c r="Q166" s="41"/>
      <c r="R166" s="41"/>
      <c r="S166" s="41"/>
      <c r="T166" s="41"/>
    </row>
    <row r="167" spans="1:20" ht="15.75" thickBot="1" x14ac:dyDescent="0.3">
      <c r="A167" s="763" t="s">
        <v>743</v>
      </c>
      <c r="B167" s="763"/>
      <c r="C167" s="791"/>
      <c r="D167" s="792"/>
      <c r="E167" s="793"/>
      <c r="F167" s="72" t="s">
        <v>378</v>
      </c>
      <c r="G167" s="81" t="s">
        <v>379</v>
      </c>
      <c r="H167" s="82" t="s">
        <v>744</v>
      </c>
      <c r="I167" s="83"/>
      <c r="J167" s="45"/>
      <c r="K167" s="41"/>
      <c r="L167" s="41"/>
      <c r="M167" s="41"/>
      <c r="N167" s="558"/>
      <c r="O167" s="559"/>
      <c r="P167" s="559"/>
      <c r="Q167" s="559"/>
      <c r="R167" s="559"/>
      <c r="S167" s="560"/>
      <c r="T167" s="41"/>
    </row>
    <row r="168" spans="1:20" x14ac:dyDescent="0.25">
      <c r="A168" s="45"/>
      <c r="B168" s="45"/>
      <c r="C168" s="857" t="str">
        <f ca="1">IFERROR(IF($D$167&lt;&gt;"",IF(YEAR($D$167)&gt;(YEAR($I$611)-16),YEAR($I$611)-YEAR($D$167)&amp;" years old?",IF(YEAR($D$167)&lt;(YEAR($I$611)-80),YEAR($I$611)-YEAR($D$167)&amp;" years old?","Applicant is " &amp; DATEDIF($D$167,TODAY(),"y") &amp; " years &amp; " &amp; DATEDIF($D$167,TODAY(),"ym") &amp; " months old")),""),"DATE ENTRY ERROR!")</f>
        <v/>
      </c>
      <c r="D168" s="687"/>
      <c r="E168" s="687"/>
      <c r="F168" s="687"/>
      <c r="G168" s="84"/>
      <c r="H168" s="84"/>
      <c r="I168" s="84"/>
      <c r="J168" s="45"/>
      <c r="K168" s="41"/>
      <c r="L168" s="41"/>
      <c r="M168" s="41"/>
      <c r="N168" s="564"/>
      <c r="O168" s="565"/>
      <c r="P168" s="565"/>
      <c r="Q168" s="565"/>
      <c r="R168" s="565"/>
      <c r="S168" s="566"/>
      <c r="T168" s="41"/>
    </row>
    <row r="169" spans="1:20" ht="15.75" thickBot="1" x14ac:dyDescent="0.3">
      <c r="A169" s="45"/>
      <c r="B169" s="45"/>
      <c r="C169" s="45"/>
      <c r="D169" s="45"/>
      <c r="E169" s="45"/>
      <c r="F169" s="45"/>
      <c r="G169" s="45"/>
      <c r="H169" s="45"/>
      <c r="I169" s="45"/>
      <c r="J169" s="45"/>
      <c r="K169" s="41"/>
      <c r="L169" s="41"/>
      <c r="M169" s="41"/>
      <c r="N169" s="41"/>
      <c r="O169" s="41"/>
      <c r="P169" s="41"/>
      <c r="Q169" s="41"/>
      <c r="R169" s="41"/>
      <c r="S169" s="41"/>
      <c r="T169" s="41"/>
    </row>
    <row r="170" spans="1:20" ht="15.75" thickBot="1" x14ac:dyDescent="0.3">
      <c r="A170" s="763" t="s">
        <v>745</v>
      </c>
      <c r="B170" s="763"/>
      <c r="C170" s="763"/>
      <c r="D170" s="763"/>
      <c r="E170" s="628"/>
      <c r="F170" s="629"/>
      <c r="G170" s="629"/>
      <c r="H170" s="629"/>
      <c r="I170" s="629"/>
      <c r="J170" s="630"/>
      <c r="K170" s="41"/>
      <c r="L170" s="41"/>
      <c r="M170" s="41"/>
      <c r="N170" s="558"/>
      <c r="O170" s="559"/>
      <c r="P170" s="559"/>
      <c r="Q170" s="559"/>
      <c r="R170" s="559"/>
      <c r="S170" s="560"/>
      <c r="T170" s="41"/>
    </row>
    <row r="171" spans="1:20" ht="15.75" thickBot="1" x14ac:dyDescent="0.3">
      <c r="A171" s="45"/>
      <c r="B171" s="45"/>
      <c r="C171" s="45"/>
      <c r="D171" s="45"/>
      <c r="E171" s="45"/>
      <c r="F171" s="45"/>
      <c r="G171" s="45"/>
      <c r="H171" s="45"/>
      <c r="I171" s="45"/>
      <c r="J171" s="45"/>
      <c r="K171" s="41"/>
      <c r="L171" s="41"/>
      <c r="M171" s="41"/>
      <c r="N171" s="561"/>
      <c r="O171" s="562"/>
      <c r="P171" s="562"/>
      <c r="Q171" s="562"/>
      <c r="R171" s="562"/>
      <c r="S171" s="563"/>
      <c r="T171" s="41"/>
    </row>
    <row r="172" spans="1:20" ht="15.75" thickBot="1" x14ac:dyDescent="0.3">
      <c r="A172" s="72" t="s">
        <v>746</v>
      </c>
      <c r="B172" s="45"/>
      <c r="C172" s="45"/>
      <c r="D172" s="45"/>
      <c r="E172" s="792"/>
      <c r="F172" s="794"/>
      <c r="G172" s="794"/>
      <c r="H172" s="794"/>
      <c r="I172" s="794"/>
      <c r="J172" s="793"/>
      <c r="K172" s="41"/>
      <c r="L172" s="41"/>
      <c r="M172" s="41"/>
      <c r="N172" s="561"/>
      <c r="O172" s="562"/>
      <c r="P172" s="562"/>
      <c r="Q172" s="562"/>
      <c r="R172" s="562"/>
      <c r="S172" s="563"/>
      <c r="T172" s="41"/>
    </row>
    <row r="173" spans="1:20" ht="15.75" thickBot="1" x14ac:dyDescent="0.3">
      <c r="A173" s="72" t="s">
        <v>747</v>
      </c>
      <c r="B173" s="45"/>
      <c r="C173" s="45"/>
      <c r="D173" s="45"/>
      <c r="E173" s="792"/>
      <c r="F173" s="794"/>
      <c r="G173" s="794"/>
      <c r="H173" s="794"/>
      <c r="I173" s="794"/>
      <c r="J173" s="793"/>
      <c r="K173" s="41"/>
      <c r="L173" s="41"/>
      <c r="M173" s="41"/>
      <c r="N173" s="561"/>
      <c r="O173" s="562"/>
      <c r="P173" s="562"/>
      <c r="Q173" s="562"/>
      <c r="R173" s="562"/>
      <c r="S173" s="563"/>
      <c r="T173" s="41"/>
    </row>
    <row r="174" spans="1:20" x14ac:dyDescent="0.25">
      <c r="A174" s="687" t="str">
        <f ca="1">IFERROR(IF($E$173&lt;&gt;"",IF($E$173&lt;=TODAY(),"expired passport - please list new passport details",IF(DATEDIF(TODAY(),$E$173,"M")&lt;=3,"this passport will expire in around three months or less - please list new passport details","")),""),"DATE ENTRY ERROR!")</f>
        <v/>
      </c>
      <c r="B174" s="687"/>
      <c r="C174" s="687"/>
      <c r="D174" s="687"/>
      <c r="E174" s="687"/>
      <c r="F174" s="687"/>
      <c r="G174" s="687"/>
      <c r="H174" s="687"/>
      <c r="I174" s="687"/>
      <c r="J174" s="687"/>
      <c r="K174" s="41"/>
      <c r="L174" s="41"/>
      <c r="M174" s="41"/>
      <c r="N174" s="561"/>
      <c r="O174" s="562"/>
      <c r="P174" s="562"/>
      <c r="Q174" s="562"/>
      <c r="R174" s="562"/>
      <c r="S174" s="563"/>
      <c r="T174" s="41"/>
    </row>
    <row r="175" spans="1:20" ht="15.75" thickBot="1" x14ac:dyDescent="0.3">
      <c r="A175" s="45"/>
      <c r="B175" s="45"/>
      <c r="C175" s="45"/>
      <c r="D175" s="45"/>
      <c r="E175" s="45"/>
      <c r="F175" s="45"/>
      <c r="G175" s="45"/>
      <c r="H175" s="45"/>
      <c r="I175" s="45"/>
      <c r="J175" s="45"/>
      <c r="K175" s="41"/>
      <c r="L175" s="41"/>
      <c r="M175" s="41"/>
      <c r="N175" s="561"/>
      <c r="O175" s="562"/>
      <c r="P175" s="562"/>
      <c r="Q175" s="562"/>
      <c r="R175" s="562"/>
      <c r="S175" s="563"/>
      <c r="T175" s="41"/>
    </row>
    <row r="176" spans="1:20" ht="15.75" thickBot="1" x14ac:dyDescent="0.3">
      <c r="A176" s="763" t="s">
        <v>748</v>
      </c>
      <c r="B176" s="763"/>
      <c r="C176" s="763"/>
      <c r="D176" s="763"/>
      <c r="E176" s="504"/>
      <c r="F176" s="505"/>
      <c r="G176" s="505"/>
      <c r="H176" s="505"/>
      <c r="I176" s="505"/>
      <c r="J176" s="506"/>
      <c r="K176" s="41"/>
      <c r="L176" s="41"/>
      <c r="M176" s="41"/>
      <c r="N176" s="561"/>
      <c r="O176" s="562"/>
      <c r="P176" s="562"/>
      <c r="Q176" s="562"/>
      <c r="R176" s="562"/>
      <c r="S176" s="563"/>
      <c r="T176" s="41"/>
    </row>
    <row r="177" spans="1:20" ht="15.75" thickBot="1" x14ac:dyDescent="0.3">
      <c r="A177" s="763" t="s">
        <v>749</v>
      </c>
      <c r="B177" s="763"/>
      <c r="C177" s="763"/>
      <c r="D177" s="763"/>
      <c r="E177" s="504"/>
      <c r="F177" s="505"/>
      <c r="G177" s="505"/>
      <c r="H177" s="505"/>
      <c r="I177" s="505"/>
      <c r="J177" s="506"/>
      <c r="K177" s="41"/>
      <c r="L177" s="41"/>
      <c r="M177" s="41"/>
      <c r="N177" s="564"/>
      <c r="O177" s="565"/>
      <c r="P177" s="565"/>
      <c r="Q177" s="565"/>
      <c r="R177" s="565"/>
      <c r="S177" s="566"/>
      <c r="T177" s="41"/>
    </row>
    <row r="178" spans="1:20" x14ac:dyDescent="0.25">
      <c r="A178" s="45"/>
      <c r="B178" s="45"/>
      <c r="C178" s="45"/>
      <c r="D178" s="45"/>
      <c r="E178" s="45"/>
      <c r="F178" s="45"/>
      <c r="G178" s="45"/>
      <c r="H178" s="45"/>
      <c r="I178" s="45"/>
      <c r="J178" s="45"/>
      <c r="K178" s="41"/>
      <c r="L178" s="41"/>
      <c r="M178" s="41"/>
      <c r="N178" s="41"/>
      <c r="O178" s="41"/>
      <c r="P178" s="41"/>
      <c r="Q178" s="41"/>
      <c r="R178" s="41"/>
      <c r="S178" s="41"/>
      <c r="T178" s="41"/>
    </row>
    <row r="179" spans="1:20" x14ac:dyDescent="0.25">
      <c r="A179" s="473" t="s">
        <v>753</v>
      </c>
      <c r="B179" s="473"/>
      <c r="C179" s="473"/>
      <c r="D179" s="473"/>
      <c r="E179" s="473"/>
      <c r="F179" s="473"/>
      <c r="G179" s="473"/>
      <c r="H179" s="473"/>
      <c r="I179" s="473"/>
      <c r="J179" s="473"/>
      <c r="K179" s="41"/>
      <c r="L179" s="41"/>
      <c r="M179" s="41"/>
      <c r="N179" s="41"/>
      <c r="O179" s="41"/>
      <c r="P179" s="41"/>
      <c r="Q179" s="41"/>
      <c r="R179" s="41"/>
      <c r="S179" s="41"/>
      <c r="T179" s="41"/>
    </row>
    <row r="180" spans="1:20" ht="15.75" thickBot="1" x14ac:dyDescent="0.3">
      <c r="A180" s="45"/>
      <c r="B180" s="45"/>
      <c r="C180" s="45"/>
      <c r="D180" s="45"/>
      <c r="E180" s="45"/>
      <c r="F180" s="45"/>
      <c r="G180" s="45"/>
      <c r="H180" s="45"/>
      <c r="I180" s="45"/>
      <c r="J180" s="45"/>
      <c r="K180" s="41"/>
      <c r="L180" s="41"/>
      <c r="M180" s="41"/>
      <c r="N180" s="91"/>
      <c r="O180" s="91"/>
      <c r="P180" s="91"/>
      <c r="Q180" s="91"/>
      <c r="R180" s="91"/>
      <c r="S180" s="91"/>
      <c r="T180" s="41"/>
    </row>
    <row r="181" spans="1:20" ht="15.75" thickBot="1" x14ac:dyDescent="0.3">
      <c r="A181" s="503" t="s">
        <v>754</v>
      </c>
      <c r="B181" s="503"/>
      <c r="C181" s="503"/>
      <c r="D181" s="503"/>
      <c r="E181" s="504"/>
      <c r="F181" s="505"/>
      <c r="G181" s="505"/>
      <c r="H181" s="505"/>
      <c r="I181" s="505"/>
      <c r="J181" s="506"/>
      <c r="K181" s="41"/>
      <c r="L181" s="41"/>
      <c r="M181" s="41"/>
      <c r="N181" s="721"/>
      <c r="O181" s="722"/>
      <c r="P181" s="722"/>
      <c r="Q181" s="722"/>
      <c r="R181" s="722"/>
      <c r="S181" s="723"/>
      <c r="T181" s="41"/>
    </row>
    <row r="182" spans="1:20" x14ac:dyDescent="0.25">
      <c r="A182" s="687" t="str">
        <f>IF(AND(CHECKING!$B$5=TRUE,OR(CHECKING!$D$45="UK",CHECKING!$D$45="United Kingdom")),"OUT of country selected above so Country of residence CANNOT be UK or United Kingdom",IF(AND(CHECKING!$B$6,CHECKING!$D$45&lt;&gt;"UK",CHECKING!$D$45&lt;&gt;"United Kingdom"),"IN country selected above so Country of residence MUST be UK or United Kingdom",""))</f>
        <v/>
      </c>
      <c r="B182" s="687"/>
      <c r="C182" s="687"/>
      <c r="D182" s="687"/>
      <c r="E182" s="687"/>
      <c r="F182" s="687"/>
      <c r="G182" s="687"/>
      <c r="H182" s="687"/>
      <c r="I182" s="687"/>
      <c r="J182" s="687"/>
      <c r="K182" s="41"/>
      <c r="L182" s="41"/>
      <c r="M182" s="41"/>
      <c r="N182" s="91"/>
      <c r="O182" s="91"/>
      <c r="P182" s="91"/>
      <c r="Q182" s="91"/>
      <c r="R182" s="91"/>
      <c r="S182" s="91"/>
      <c r="T182" s="41"/>
    </row>
    <row r="183" spans="1:20" ht="15.75" thickBot="1" x14ac:dyDescent="0.3">
      <c r="A183" s="695" t="str">
        <f>IF(AND($I$82=10,CHECKING!$D$45&lt;&gt;"",CHECKING!$D$45&lt;&gt;"- select -",CHECKING!$D$45&lt;&gt;CHECKING!$D$29,CHECKING!$D$45&lt;&gt;CHECKING!$D$33,CHECKING!$D$45&lt;&gt;CHECKING!$D$34),"Please provide copy of applicant's visa for the country where they are applying from","")</f>
        <v/>
      </c>
      <c r="B183" s="695"/>
      <c r="C183" s="695"/>
      <c r="D183" s="695"/>
      <c r="E183" s="695"/>
      <c r="F183" s="695"/>
      <c r="G183" s="695"/>
      <c r="H183" s="695"/>
      <c r="I183" s="695"/>
      <c r="J183" s="695"/>
      <c r="K183" s="41"/>
      <c r="L183" s="41"/>
      <c r="M183" s="41"/>
      <c r="N183" s="91"/>
      <c r="O183" s="91"/>
      <c r="P183" s="91"/>
      <c r="Q183" s="91"/>
      <c r="R183" s="91"/>
      <c r="S183" s="91"/>
      <c r="T183" s="41"/>
    </row>
    <row r="184" spans="1:20" x14ac:dyDescent="0.25">
      <c r="A184" s="72" t="s">
        <v>755</v>
      </c>
      <c r="B184" s="45"/>
      <c r="C184" s="45"/>
      <c r="D184" s="45"/>
      <c r="E184" s="702"/>
      <c r="F184" s="703"/>
      <c r="G184" s="703"/>
      <c r="H184" s="703"/>
      <c r="I184" s="703"/>
      <c r="J184" s="704"/>
      <c r="K184" s="41"/>
      <c r="L184" s="41"/>
      <c r="M184" s="41"/>
      <c r="N184" s="568"/>
      <c r="O184" s="569"/>
      <c r="P184" s="569"/>
      <c r="Q184" s="569"/>
      <c r="R184" s="569"/>
      <c r="S184" s="570"/>
      <c r="T184" s="41"/>
    </row>
    <row r="185" spans="1:20" x14ac:dyDescent="0.25">
      <c r="A185" s="88"/>
      <c r="B185" s="88"/>
      <c r="C185" s="88"/>
      <c r="D185" s="89"/>
      <c r="E185" s="688"/>
      <c r="F185" s="689"/>
      <c r="G185" s="689"/>
      <c r="H185" s="689"/>
      <c r="I185" s="689"/>
      <c r="J185" s="690"/>
      <c r="K185" s="41"/>
      <c r="L185" s="41"/>
      <c r="M185" s="41"/>
      <c r="N185" s="571"/>
      <c r="O185" s="572"/>
      <c r="P185" s="572"/>
      <c r="Q185" s="572"/>
      <c r="R185" s="572"/>
      <c r="S185" s="573"/>
      <c r="T185" s="41"/>
    </row>
    <row r="186" spans="1:20" x14ac:dyDescent="0.25">
      <c r="A186" s="88"/>
      <c r="B186" s="88"/>
      <c r="C186" s="88"/>
      <c r="D186" s="89"/>
      <c r="E186" s="688"/>
      <c r="F186" s="689"/>
      <c r="G186" s="689"/>
      <c r="H186" s="689"/>
      <c r="I186" s="689"/>
      <c r="J186" s="690"/>
      <c r="K186" s="41"/>
      <c r="L186" s="41"/>
      <c r="M186" s="41"/>
      <c r="N186" s="571"/>
      <c r="O186" s="572"/>
      <c r="P186" s="572"/>
      <c r="Q186" s="572"/>
      <c r="R186" s="572"/>
      <c r="S186" s="573"/>
      <c r="T186" s="41"/>
    </row>
    <row r="187" spans="1:20" x14ac:dyDescent="0.25">
      <c r="A187" s="88" t="s">
        <v>756</v>
      </c>
      <c r="B187" s="88"/>
      <c r="C187" s="88"/>
      <c r="D187" s="45"/>
      <c r="E187" s="691"/>
      <c r="F187" s="692"/>
      <c r="G187" s="692"/>
      <c r="H187" s="692"/>
      <c r="I187" s="692"/>
      <c r="J187" s="693"/>
      <c r="K187" s="41"/>
      <c r="L187" s="41"/>
      <c r="M187" s="41"/>
      <c r="N187" s="571"/>
      <c r="O187" s="572"/>
      <c r="P187" s="572"/>
      <c r="Q187" s="572"/>
      <c r="R187" s="572"/>
      <c r="S187" s="573"/>
      <c r="T187" s="41"/>
    </row>
    <row r="188" spans="1:20" x14ac:dyDescent="0.25">
      <c r="A188" s="72" t="s">
        <v>757</v>
      </c>
      <c r="B188" s="45"/>
      <c r="C188" s="45"/>
      <c r="D188" s="45"/>
      <c r="E188" s="688"/>
      <c r="F188" s="689"/>
      <c r="G188" s="689"/>
      <c r="H188" s="689"/>
      <c r="I188" s="689"/>
      <c r="J188" s="690"/>
      <c r="K188" s="41"/>
      <c r="L188" s="41"/>
      <c r="M188" s="41"/>
      <c r="N188" s="574"/>
      <c r="O188" s="575"/>
      <c r="P188" s="575"/>
      <c r="Q188" s="575"/>
      <c r="R188" s="575"/>
      <c r="S188" s="576"/>
      <c r="T188" s="41"/>
    </row>
    <row r="189" spans="1:20" ht="15.75" thickBot="1" x14ac:dyDescent="0.3">
      <c r="A189" s="72" t="s">
        <v>758</v>
      </c>
      <c r="B189" s="45"/>
      <c r="C189" s="45"/>
      <c r="D189" s="45"/>
      <c r="E189" s="696"/>
      <c r="F189" s="697"/>
      <c r="G189" s="697"/>
      <c r="H189" s="697"/>
      <c r="I189" s="697"/>
      <c r="J189" s="698"/>
      <c r="K189" s="41"/>
      <c r="L189" s="41"/>
      <c r="M189" s="41"/>
      <c r="N189" s="91"/>
      <c r="O189" s="91"/>
      <c r="P189" s="91"/>
      <c r="Q189" s="91"/>
      <c r="R189" s="91"/>
      <c r="S189" s="91"/>
      <c r="T189" s="41"/>
    </row>
    <row r="190" spans="1:20" ht="15.75" thickBot="1" x14ac:dyDescent="0.3">
      <c r="A190" s="72"/>
      <c r="B190" s="45"/>
      <c r="C190" s="45"/>
      <c r="D190" s="45"/>
      <c r="E190" s="694" t="str">
        <f>IF(OR(ISNUMBER(SEARCH("University",$E$184)),ISNUMBER(SEARCH("Department",$E$184)),ISNUMBER(SEARCH("Faculty",$E$184)),ISNUMBER(SEARCH("School",$E$184)),ISNUMBER(SEARCH("Institute",$E$184)),ISNUMBER(SEARCH("University",$E$185)),ISNUMBER(SEARCH("Department",$E$185)),ISNUMBER(SEARCH("Faculty",$E$185)),ISNUMBER(SEARCH("School",$E$185)),ISNUMBER(SEARCH("Institute",$E$185))),"Check this is not a work address","")</f>
        <v/>
      </c>
      <c r="F190" s="694"/>
      <c r="G190" s="694"/>
      <c r="H190" s="694"/>
      <c r="I190" s="694"/>
      <c r="J190" s="694"/>
      <c r="K190" s="41"/>
      <c r="L190" s="41"/>
      <c r="M190" s="41"/>
      <c r="N190" s="91"/>
      <c r="O190" s="91"/>
      <c r="P190" s="91"/>
      <c r="Q190" s="91"/>
      <c r="R190" s="91"/>
      <c r="S190" s="91"/>
      <c r="T190" s="41"/>
    </row>
    <row r="191" spans="1:20" ht="15.75" thickBot="1" x14ac:dyDescent="0.3">
      <c r="A191" s="72" t="s">
        <v>759</v>
      </c>
      <c r="B191" s="45"/>
      <c r="C191" s="45"/>
      <c r="D191" s="45"/>
      <c r="E191" s="603"/>
      <c r="F191" s="505"/>
      <c r="G191" s="505"/>
      <c r="H191" s="505"/>
      <c r="I191" s="505"/>
      <c r="J191" s="506"/>
      <c r="K191" s="41"/>
      <c r="L191" s="41"/>
      <c r="M191" s="41"/>
      <c r="N191" s="721"/>
      <c r="O191" s="722"/>
      <c r="P191" s="722"/>
      <c r="Q191" s="722"/>
      <c r="R191" s="722"/>
      <c r="S191" s="723"/>
      <c r="T191" s="41"/>
    </row>
    <row r="192" spans="1:20" x14ac:dyDescent="0.25">
      <c r="A192" s="45"/>
      <c r="B192" s="45"/>
      <c r="C192" s="90"/>
      <c r="D192" s="90"/>
      <c r="E192" s="149"/>
      <c r="F192" s="149"/>
      <c r="G192" s="149"/>
      <c r="H192" s="149"/>
      <c r="I192" s="149"/>
      <c r="J192" s="420" t="str">
        <f>IF(AND(E184&lt;&gt;"",E189=""),"please provide applicant's postcode","")</f>
        <v/>
      </c>
      <c r="K192" s="41"/>
      <c r="L192" s="41"/>
      <c r="M192" s="41"/>
      <c r="N192" s="91"/>
      <c r="O192" s="91"/>
      <c r="P192" s="91"/>
      <c r="Q192" s="91"/>
      <c r="R192" s="91"/>
      <c r="S192" s="91"/>
      <c r="T192" s="41"/>
    </row>
    <row r="193" spans="1:20" s="269" customFormat="1" ht="15.75" thickBot="1" x14ac:dyDescent="0.3">
      <c r="A193" s="474" t="s">
        <v>1167</v>
      </c>
      <c r="B193" s="474"/>
      <c r="C193" s="474"/>
      <c r="D193" s="474"/>
      <c r="E193" s="474"/>
      <c r="F193" s="474"/>
      <c r="G193" s="474"/>
      <c r="H193" s="474"/>
      <c r="I193" s="474"/>
      <c r="J193" s="474"/>
      <c r="K193" s="41"/>
      <c r="L193" s="41"/>
      <c r="M193" s="41"/>
      <c r="N193" s="276"/>
      <c r="O193" s="276"/>
      <c r="P193" s="276"/>
      <c r="Q193" s="276"/>
      <c r="R193" s="276"/>
      <c r="S193" s="276"/>
      <c r="T193" s="41"/>
    </row>
    <row r="194" spans="1:20" s="269" customFormat="1" ht="21.75" customHeight="1" x14ac:dyDescent="0.25">
      <c r="A194" s="488" t="s">
        <v>1184</v>
      </c>
      <c r="B194" s="488"/>
      <c r="C194" s="488"/>
      <c r="D194" s="488"/>
      <c r="E194" s="488"/>
      <c r="F194" s="488"/>
      <c r="G194" s="488"/>
      <c r="H194" s="488"/>
      <c r="I194" s="488"/>
      <c r="J194" s="843" t="s">
        <v>379</v>
      </c>
      <c r="K194" s="41"/>
      <c r="L194" s="41"/>
      <c r="M194" s="41"/>
      <c r="N194" s="845"/>
      <c r="O194" s="846"/>
      <c r="P194" s="846"/>
      <c r="Q194" s="846"/>
      <c r="R194" s="846"/>
      <c r="S194" s="847"/>
      <c r="T194" s="41"/>
    </row>
    <row r="195" spans="1:20" s="269" customFormat="1" ht="15.75" thickBot="1" x14ac:dyDescent="0.3">
      <c r="A195" s="488"/>
      <c r="B195" s="488"/>
      <c r="C195" s="488"/>
      <c r="D195" s="488"/>
      <c r="E195" s="488"/>
      <c r="F195" s="488"/>
      <c r="G195" s="488"/>
      <c r="H195" s="488"/>
      <c r="I195" s="488"/>
      <c r="J195" s="844"/>
      <c r="K195" s="41"/>
      <c r="L195" s="41"/>
      <c r="M195" s="41"/>
      <c r="N195" s="848"/>
      <c r="O195" s="849"/>
      <c r="P195" s="849"/>
      <c r="Q195" s="849"/>
      <c r="R195" s="849"/>
      <c r="S195" s="850"/>
      <c r="T195" s="41"/>
    </row>
    <row r="196" spans="1:20" s="269" customFormat="1" x14ac:dyDescent="0.25">
      <c r="A196" s="488"/>
      <c r="B196" s="488"/>
      <c r="C196" s="488"/>
      <c r="D196" s="488"/>
      <c r="E196" s="488"/>
      <c r="F196" s="488"/>
      <c r="G196" s="488"/>
      <c r="H196" s="488"/>
      <c r="I196" s="488"/>
      <c r="J196" s="447"/>
      <c r="K196" s="41"/>
      <c r="L196" s="41"/>
      <c r="M196" s="41"/>
      <c r="N196" s="848"/>
      <c r="O196" s="849"/>
      <c r="P196" s="849"/>
      <c r="Q196" s="849"/>
      <c r="R196" s="849"/>
      <c r="S196" s="850"/>
      <c r="T196" s="41"/>
    </row>
    <row r="197" spans="1:20" s="269" customFormat="1" ht="15.75" thickBot="1" x14ac:dyDescent="0.3">
      <c r="A197" s="488"/>
      <c r="B197" s="488"/>
      <c r="C197" s="488"/>
      <c r="D197" s="488"/>
      <c r="E197" s="488"/>
      <c r="F197" s="488"/>
      <c r="G197" s="488"/>
      <c r="H197" s="488"/>
      <c r="I197" s="488"/>
      <c r="J197" s="447"/>
      <c r="K197" s="41"/>
      <c r="L197" s="41"/>
      <c r="M197" s="41"/>
      <c r="N197" s="848"/>
      <c r="O197" s="849"/>
      <c r="P197" s="849"/>
      <c r="Q197" s="849"/>
      <c r="R197" s="849"/>
      <c r="S197" s="850"/>
      <c r="T197" s="41"/>
    </row>
    <row r="198" spans="1:20" s="269" customFormat="1" ht="15" customHeight="1" thickBot="1" x14ac:dyDescent="0.3">
      <c r="A198" s="854" t="s">
        <v>1185</v>
      </c>
      <c r="B198" s="854"/>
      <c r="C198" s="854"/>
      <c r="D198" s="854"/>
      <c r="E198" s="854"/>
      <c r="F198" s="854"/>
      <c r="G198" s="854"/>
      <c r="H198" s="854"/>
      <c r="I198" s="854"/>
      <c r="J198" s="454" t="s">
        <v>379</v>
      </c>
      <c r="K198" s="41"/>
      <c r="L198" s="41"/>
      <c r="M198" s="41"/>
      <c r="N198" s="848"/>
      <c r="O198" s="849"/>
      <c r="P198" s="849"/>
      <c r="Q198" s="849"/>
      <c r="R198" s="849"/>
      <c r="S198" s="850"/>
      <c r="T198" s="41"/>
    </row>
    <row r="199" spans="1:20" x14ac:dyDescent="0.25">
      <c r="A199" s="854"/>
      <c r="B199" s="854"/>
      <c r="C199" s="854"/>
      <c r="D199" s="854"/>
      <c r="E199" s="854"/>
      <c r="F199" s="854"/>
      <c r="G199" s="854"/>
      <c r="H199" s="854"/>
      <c r="I199" s="854"/>
      <c r="J199" s="855"/>
      <c r="K199" s="280"/>
      <c r="L199" s="280"/>
      <c r="M199" s="280"/>
      <c r="N199" s="848"/>
      <c r="O199" s="849"/>
      <c r="P199" s="849"/>
      <c r="Q199" s="849"/>
      <c r="R199" s="849"/>
      <c r="S199" s="850"/>
      <c r="T199" s="280"/>
    </row>
    <row r="200" spans="1:20" s="269" customFormat="1" ht="15.75" thickBot="1" x14ac:dyDescent="0.3">
      <c r="A200" s="854"/>
      <c r="B200" s="854"/>
      <c r="C200" s="854"/>
      <c r="D200" s="854"/>
      <c r="E200" s="854"/>
      <c r="F200" s="854"/>
      <c r="G200" s="854"/>
      <c r="H200" s="854"/>
      <c r="I200" s="854"/>
      <c r="J200" s="856"/>
      <c r="K200" s="280"/>
      <c r="L200" s="280"/>
      <c r="M200" s="280"/>
      <c r="N200" s="848"/>
      <c r="O200" s="849"/>
      <c r="P200" s="849"/>
      <c r="Q200" s="849"/>
      <c r="R200" s="849"/>
      <c r="S200" s="850"/>
      <c r="T200" s="280"/>
    </row>
    <row r="201" spans="1:20" s="269" customFormat="1" ht="26.25" customHeight="1" x14ac:dyDescent="0.25">
      <c r="A201" s="854"/>
      <c r="B201" s="854"/>
      <c r="C201" s="854"/>
      <c r="D201" s="854"/>
      <c r="E201" s="854"/>
      <c r="F201" s="854"/>
      <c r="G201" s="854"/>
      <c r="H201" s="854"/>
      <c r="I201" s="854"/>
      <c r="J201" s="449" t="str">
        <f>IF(AND($J$198="Yes",$J$199=""),"enter no. of kids","")</f>
        <v/>
      </c>
      <c r="K201" s="280"/>
      <c r="L201" s="280"/>
      <c r="M201" s="280"/>
      <c r="N201" s="851"/>
      <c r="O201" s="852"/>
      <c r="P201" s="852"/>
      <c r="Q201" s="852"/>
      <c r="R201" s="852"/>
      <c r="S201" s="853"/>
      <c r="T201" s="280"/>
    </row>
    <row r="202" spans="1:20" x14ac:dyDescent="0.25">
      <c r="A202" s="474" t="s">
        <v>769</v>
      </c>
      <c r="B202" s="474"/>
      <c r="C202" s="474"/>
      <c r="D202" s="474"/>
      <c r="E202" s="474"/>
      <c r="F202" s="474"/>
      <c r="G202" s="474"/>
      <c r="H202" s="474"/>
      <c r="I202" s="474"/>
      <c r="J202" s="474"/>
      <c r="K202" s="280"/>
      <c r="L202" s="280"/>
      <c r="M202" s="280"/>
      <c r="N202" s="280"/>
      <c r="O202" s="280"/>
      <c r="P202" s="280"/>
      <c r="Q202" s="280"/>
      <c r="R202" s="280"/>
      <c r="S202" s="280"/>
      <c r="T202" s="280"/>
    </row>
    <row r="203" spans="1:20" ht="15" customHeight="1" x14ac:dyDescent="0.25">
      <c r="A203" s="738" t="s">
        <v>1109</v>
      </c>
      <c r="B203" s="738"/>
      <c r="C203" s="738"/>
      <c r="D203" s="738"/>
      <c r="E203" s="738"/>
      <c r="F203" s="738"/>
      <c r="G203" s="738"/>
      <c r="H203" s="738"/>
      <c r="I203" s="738"/>
      <c r="J203" s="738"/>
      <c r="K203" s="41"/>
      <c r="L203" s="41"/>
      <c r="M203" s="41"/>
      <c r="N203" s="41"/>
      <c r="O203" s="41"/>
      <c r="P203" s="41"/>
      <c r="Q203" s="41"/>
      <c r="R203" s="41"/>
      <c r="S203" s="41"/>
      <c r="T203" s="41"/>
    </row>
    <row r="204" spans="1:20" x14ac:dyDescent="0.25">
      <c r="A204" s="738"/>
      <c r="B204" s="738"/>
      <c r="C204" s="738"/>
      <c r="D204" s="738"/>
      <c r="E204" s="738"/>
      <c r="F204" s="738"/>
      <c r="G204" s="738"/>
      <c r="H204" s="738"/>
      <c r="I204" s="738"/>
      <c r="J204" s="738"/>
      <c r="K204" s="41"/>
      <c r="L204" s="41"/>
      <c r="M204" s="41"/>
      <c r="N204" s="558"/>
      <c r="O204" s="559"/>
      <c r="P204" s="559"/>
      <c r="Q204" s="559"/>
      <c r="R204" s="559"/>
      <c r="S204" s="560"/>
      <c r="T204" s="41"/>
    </row>
    <row r="205" spans="1:20" x14ac:dyDescent="0.25">
      <c r="A205" s="738"/>
      <c r="B205" s="738"/>
      <c r="C205" s="738"/>
      <c r="D205" s="738"/>
      <c r="E205" s="738"/>
      <c r="F205" s="738"/>
      <c r="G205" s="738"/>
      <c r="H205" s="738"/>
      <c r="I205" s="738"/>
      <c r="J205" s="738"/>
      <c r="K205" s="41"/>
      <c r="L205" s="41"/>
      <c r="M205" s="41"/>
      <c r="N205" s="561"/>
      <c r="O205" s="562"/>
      <c r="P205" s="562"/>
      <c r="Q205" s="562"/>
      <c r="R205" s="562"/>
      <c r="S205" s="563"/>
      <c r="T205" s="41"/>
    </row>
    <row r="206" spans="1:20" x14ac:dyDescent="0.25">
      <c r="A206" s="738"/>
      <c r="B206" s="738"/>
      <c r="C206" s="738"/>
      <c r="D206" s="738"/>
      <c r="E206" s="738"/>
      <c r="F206" s="738"/>
      <c r="G206" s="738"/>
      <c r="H206" s="738"/>
      <c r="I206" s="738"/>
      <c r="J206" s="738"/>
      <c r="K206" s="41"/>
      <c r="L206" s="41"/>
      <c r="M206" s="41"/>
      <c r="N206" s="561"/>
      <c r="O206" s="562"/>
      <c r="P206" s="562"/>
      <c r="Q206" s="562"/>
      <c r="R206" s="562"/>
      <c r="S206" s="563"/>
      <c r="T206" s="41"/>
    </row>
    <row r="207" spans="1:20" x14ac:dyDescent="0.25">
      <c r="A207" s="738"/>
      <c r="B207" s="738"/>
      <c r="C207" s="738"/>
      <c r="D207" s="738"/>
      <c r="E207" s="738"/>
      <c r="F207" s="738"/>
      <c r="G207" s="738"/>
      <c r="H207" s="738"/>
      <c r="I207" s="738"/>
      <c r="J207" s="738"/>
      <c r="K207" s="41"/>
      <c r="L207" s="41"/>
      <c r="M207" s="41"/>
      <c r="N207" s="561"/>
      <c r="O207" s="562"/>
      <c r="P207" s="562"/>
      <c r="Q207" s="562"/>
      <c r="R207" s="562"/>
      <c r="S207" s="563"/>
      <c r="T207" s="41"/>
    </row>
    <row r="208" spans="1:20" x14ac:dyDescent="0.25">
      <c r="A208" s="738"/>
      <c r="B208" s="738"/>
      <c r="C208" s="738"/>
      <c r="D208" s="738"/>
      <c r="E208" s="738"/>
      <c r="F208" s="738"/>
      <c r="G208" s="738"/>
      <c r="H208" s="738"/>
      <c r="I208" s="738"/>
      <c r="J208" s="738"/>
      <c r="K208" s="41"/>
      <c r="L208" s="41"/>
      <c r="M208" s="41"/>
      <c r="N208" s="561"/>
      <c r="O208" s="562"/>
      <c r="P208" s="562"/>
      <c r="Q208" s="562"/>
      <c r="R208" s="562"/>
      <c r="S208" s="563"/>
      <c r="T208" s="41"/>
    </row>
    <row r="209" spans="1:20" x14ac:dyDescent="0.25">
      <c r="A209" s="738"/>
      <c r="B209" s="738"/>
      <c r="C209" s="738"/>
      <c r="D209" s="738"/>
      <c r="E209" s="738"/>
      <c r="F209" s="738"/>
      <c r="G209" s="738"/>
      <c r="H209" s="738"/>
      <c r="I209" s="738"/>
      <c r="J209" s="738"/>
      <c r="K209" s="41"/>
      <c r="L209" s="41"/>
      <c r="M209" s="41"/>
      <c r="N209" s="561"/>
      <c r="O209" s="562"/>
      <c r="P209" s="562"/>
      <c r="Q209" s="562"/>
      <c r="R209" s="562"/>
      <c r="S209" s="563"/>
      <c r="T209" s="41"/>
    </row>
    <row r="210" spans="1:20" ht="18.75" x14ac:dyDescent="0.3">
      <c r="A210" s="44"/>
      <c r="B210" s="724" t="s">
        <v>804</v>
      </c>
      <c r="C210" s="724"/>
      <c r="D210" s="724"/>
      <c r="E210" s="724"/>
      <c r="F210" s="102"/>
      <c r="G210" s="102"/>
      <c r="H210" s="44"/>
      <c r="I210" s="44"/>
      <c r="J210" s="44"/>
      <c r="K210" s="41"/>
      <c r="L210" s="41"/>
      <c r="M210" s="41"/>
      <c r="N210" s="561"/>
      <c r="O210" s="562"/>
      <c r="P210" s="562"/>
      <c r="Q210" s="562"/>
      <c r="R210" s="562"/>
      <c r="S210" s="563"/>
      <c r="T210" s="41"/>
    </row>
    <row r="211" spans="1:20" ht="15" customHeight="1" x14ac:dyDescent="0.25">
      <c r="A211" s="738" t="s">
        <v>770</v>
      </c>
      <c r="B211" s="738"/>
      <c r="C211" s="738"/>
      <c r="D211" s="738"/>
      <c r="E211" s="738"/>
      <c r="F211" s="738"/>
      <c r="G211" s="738"/>
      <c r="H211" s="738"/>
      <c r="I211" s="738"/>
      <c r="J211" s="738"/>
      <c r="K211" s="41"/>
      <c r="L211" s="41"/>
      <c r="M211" s="41"/>
      <c r="N211" s="561"/>
      <c r="O211" s="562"/>
      <c r="P211" s="562"/>
      <c r="Q211" s="562"/>
      <c r="R211" s="562"/>
      <c r="S211" s="563"/>
      <c r="T211" s="41"/>
    </row>
    <row r="212" spans="1:20" ht="15" customHeight="1" x14ac:dyDescent="0.25">
      <c r="A212" s="738"/>
      <c r="B212" s="738"/>
      <c r="C212" s="738"/>
      <c r="D212" s="738"/>
      <c r="E212" s="738"/>
      <c r="F212" s="738"/>
      <c r="G212" s="738"/>
      <c r="H212" s="738"/>
      <c r="I212" s="738"/>
      <c r="J212" s="738"/>
      <c r="K212" s="41"/>
      <c r="L212" s="41"/>
      <c r="M212" s="41"/>
      <c r="N212" s="561"/>
      <c r="O212" s="562"/>
      <c r="P212" s="562"/>
      <c r="Q212" s="562"/>
      <c r="R212" s="562"/>
      <c r="S212" s="563"/>
      <c r="T212" s="41"/>
    </row>
    <row r="213" spans="1:20" x14ac:dyDescent="0.25">
      <c r="A213" s="738"/>
      <c r="B213" s="738"/>
      <c r="C213" s="738"/>
      <c r="D213" s="738"/>
      <c r="E213" s="738"/>
      <c r="F213" s="738"/>
      <c r="G213" s="738"/>
      <c r="H213" s="738"/>
      <c r="I213" s="738"/>
      <c r="J213" s="738"/>
      <c r="K213" s="41"/>
      <c r="L213" s="41"/>
      <c r="M213" s="41"/>
      <c r="N213" s="561"/>
      <c r="O213" s="562"/>
      <c r="P213" s="562"/>
      <c r="Q213" s="562"/>
      <c r="R213" s="562"/>
      <c r="S213" s="563"/>
      <c r="T213" s="41"/>
    </row>
    <row r="214" spans="1:20" x14ac:dyDescent="0.25">
      <c r="A214" s="71"/>
      <c r="B214" s="71"/>
      <c r="C214" s="71"/>
      <c r="D214" s="71"/>
      <c r="E214" s="71"/>
      <c r="F214" s="71"/>
      <c r="G214" s="71"/>
      <c r="H214" s="71"/>
      <c r="I214" s="71"/>
      <c r="J214" s="71"/>
      <c r="K214" s="41"/>
      <c r="L214" s="41"/>
      <c r="M214" s="41"/>
      <c r="N214" s="561"/>
      <c r="O214" s="562"/>
      <c r="P214" s="562"/>
      <c r="Q214" s="562"/>
      <c r="R214" s="562"/>
      <c r="S214" s="563"/>
      <c r="T214" s="41"/>
    </row>
    <row r="215" spans="1:20" ht="15.75" x14ac:dyDescent="0.25">
      <c r="A215" s="729" t="s">
        <v>771</v>
      </c>
      <c r="B215" s="729"/>
      <c r="C215" s="729"/>
      <c r="D215" s="729"/>
      <c r="E215" s="729"/>
      <c r="F215" s="729"/>
      <c r="G215" s="729"/>
      <c r="H215" s="729"/>
      <c r="I215" s="729"/>
      <c r="J215" s="729"/>
      <c r="K215" s="41"/>
      <c r="L215" s="41"/>
      <c r="M215" s="41"/>
      <c r="N215" s="561"/>
      <c r="O215" s="562"/>
      <c r="P215" s="562"/>
      <c r="Q215" s="562"/>
      <c r="R215" s="562"/>
      <c r="S215" s="563"/>
      <c r="T215" s="41"/>
    </row>
    <row r="216" spans="1:20" ht="15.75" thickBot="1" x14ac:dyDescent="0.3">
      <c r="A216" s="725" t="str">
        <f>IFERROR(IF($I$83&lt;&gt;10,IF(OR($F$264="",$F$267="",DATEDIF($F$264,$F$267+1,"M")&gt;=6),IF(ISTEXT(VLOOKUP(CHECKING!$D$45,Dropdowns!$M$5:$M$105,1,FALSE)),"NOTE: Applicant resides in a country which is on the Home Office list having high incidence of TB",IF(OR(ISTEXT(VLOOKUP(CHECKING!$D$31,Dropdowns!$M$5:$M$105,1,FALSE)),ISTEXT(VLOOKUP(CHECKING!$D$29,Dropdowns!$M$5:$M$105,1,FALSE)),ISTEXT(VLOOKUP(CHECKING!$D$33,Dropdowns!$M$5:$M$105,1,FALSE)),ISTEXT(VLOOKUP(CHECKING!$D$34,Dropdowns!$M$5:$M$105,1,FALSE))),"NOTE: Applicant's country of birth or nationality is on the Home Office list having high incidence of TB","")),"NOTE: TB screening is not required if the CoS length is less than six months"),""),"")</f>
        <v/>
      </c>
      <c r="B216" s="725"/>
      <c r="C216" s="725"/>
      <c r="D216" s="725"/>
      <c r="E216" s="725"/>
      <c r="F216" s="725"/>
      <c r="G216" s="725"/>
      <c r="H216" s="725"/>
      <c r="I216" s="725"/>
      <c r="J216" s="725"/>
      <c r="K216" s="41"/>
      <c r="L216" s="41"/>
      <c r="M216" s="41"/>
      <c r="N216" s="561"/>
      <c r="O216" s="562"/>
      <c r="P216" s="562"/>
      <c r="Q216" s="562"/>
      <c r="R216" s="562"/>
      <c r="S216" s="563"/>
      <c r="T216" s="41"/>
    </row>
    <row r="217" spans="1:20" ht="15.75" customHeight="1" x14ac:dyDescent="0.25">
      <c r="A217" s="730" t="s">
        <v>772</v>
      </c>
      <c r="B217" s="730"/>
      <c r="C217" s="730"/>
      <c r="D217" s="730"/>
      <c r="E217" s="730"/>
      <c r="F217" s="730"/>
      <c r="G217" s="730"/>
      <c r="H217" s="730"/>
      <c r="I217" s="730"/>
      <c r="J217" s="727" t="s">
        <v>379</v>
      </c>
      <c r="K217" s="41"/>
      <c r="L217" s="41"/>
      <c r="M217" s="41"/>
      <c r="N217" s="564"/>
      <c r="O217" s="565"/>
      <c r="P217" s="565"/>
      <c r="Q217" s="565"/>
      <c r="R217" s="565"/>
      <c r="S217" s="566"/>
      <c r="T217" s="41"/>
    </row>
    <row r="218" spans="1:20" ht="15.75" thickBot="1" x14ac:dyDescent="0.3">
      <c r="A218" s="730"/>
      <c r="B218" s="730"/>
      <c r="C218" s="730"/>
      <c r="D218" s="730"/>
      <c r="E218" s="730"/>
      <c r="F218" s="730"/>
      <c r="G218" s="730"/>
      <c r="H218" s="730"/>
      <c r="I218" s="730"/>
      <c r="J218" s="728"/>
      <c r="K218" s="41"/>
      <c r="L218" s="41"/>
      <c r="M218" s="41"/>
      <c r="N218" s="41"/>
      <c r="O218" s="41"/>
      <c r="P218" s="41"/>
      <c r="Q218" s="41"/>
      <c r="R218" s="41"/>
      <c r="S218" s="41"/>
      <c r="T218" s="41"/>
    </row>
    <row r="219" spans="1:20" s="269" customFormat="1" x14ac:dyDescent="0.25">
      <c r="A219" s="327"/>
      <c r="B219" s="327"/>
      <c r="C219" s="327"/>
      <c r="D219" s="327"/>
      <c r="E219" s="327"/>
      <c r="F219" s="327"/>
      <c r="G219" s="327"/>
      <c r="H219" s="327"/>
      <c r="I219" s="327"/>
      <c r="J219" s="331"/>
      <c r="K219" s="41"/>
      <c r="L219" s="41"/>
      <c r="M219" s="41"/>
      <c r="N219" s="41"/>
      <c r="O219" s="41"/>
      <c r="P219" s="41"/>
      <c r="Q219" s="41"/>
      <c r="R219" s="41"/>
      <c r="S219" s="41"/>
      <c r="T219" s="41"/>
    </row>
    <row r="220" spans="1:20" s="269" customFormat="1" x14ac:dyDescent="0.25">
      <c r="A220" s="732" t="s">
        <v>1159</v>
      </c>
      <c r="B220" s="732"/>
      <c r="C220" s="732"/>
      <c r="D220" s="732"/>
      <c r="E220" s="732"/>
      <c r="F220" s="732"/>
      <c r="G220" s="732"/>
      <c r="H220" s="732"/>
      <c r="I220" s="732"/>
      <c r="J220" s="732"/>
      <c r="K220" s="41"/>
      <c r="L220" s="41"/>
      <c r="M220" s="41"/>
      <c r="N220" s="364"/>
      <c r="O220" s="364"/>
      <c r="P220" s="364"/>
      <c r="Q220" s="364"/>
      <c r="R220" s="364"/>
      <c r="S220" s="364"/>
      <c r="T220" s="41"/>
    </row>
    <row r="221" spans="1:20" s="269" customFormat="1" ht="18.75" customHeight="1" x14ac:dyDescent="0.25">
      <c r="A221" s="499" t="s">
        <v>1057</v>
      </c>
      <c r="B221" s="499"/>
      <c r="C221" s="499"/>
      <c r="D221" s="499"/>
      <c r="E221" s="499"/>
      <c r="F221" s="499"/>
      <c r="G221" s="499"/>
      <c r="H221" s="499"/>
      <c r="I221" s="499"/>
      <c r="J221" s="499"/>
      <c r="K221" s="41"/>
      <c r="L221" s="41"/>
      <c r="M221" s="41"/>
      <c r="N221" s="558"/>
      <c r="O221" s="559"/>
      <c r="P221" s="559"/>
      <c r="Q221" s="559"/>
      <c r="R221" s="559"/>
      <c r="S221" s="560"/>
      <c r="T221" s="41"/>
    </row>
    <row r="222" spans="1:20" s="269" customFormat="1" ht="15" customHeight="1" x14ac:dyDescent="0.25">
      <c r="A222" s="499"/>
      <c r="B222" s="499"/>
      <c r="C222" s="499"/>
      <c r="D222" s="499"/>
      <c r="E222" s="499"/>
      <c r="F222" s="499"/>
      <c r="G222" s="499"/>
      <c r="H222" s="499"/>
      <c r="I222" s="499"/>
      <c r="J222" s="499"/>
      <c r="K222" s="41"/>
      <c r="L222" s="41"/>
      <c r="M222" s="41"/>
      <c r="N222" s="561"/>
      <c r="O222" s="562"/>
      <c r="P222" s="562"/>
      <c r="Q222" s="562"/>
      <c r="R222" s="562"/>
      <c r="S222" s="563"/>
      <c r="T222" s="41"/>
    </row>
    <row r="223" spans="1:20" s="269" customFormat="1" x14ac:dyDescent="0.25">
      <c r="A223" s="499"/>
      <c r="B223" s="499"/>
      <c r="C223" s="499"/>
      <c r="D223" s="499"/>
      <c r="E223" s="499"/>
      <c r="F223" s="499"/>
      <c r="G223" s="499"/>
      <c r="H223" s="499"/>
      <c r="I223" s="499"/>
      <c r="J223" s="499"/>
      <c r="K223" s="41"/>
      <c r="L223" s="41"/>
      <c r="M223" s="41"/>
      <c r="N223" s="561"/>
      <c r="O223" s="562"/>
      <c r="P223" s="562"/>
      <c r="Q223" s="562"/>
      <c r="R223" s="562"/>
      <c r="S223" s="563"/>
      <c r="T223" s="41"/>
    </row>
    <row r="224" spans="1:20" s="269" customFormat="1" x14ac:dyDescent="0.25">
      <c r="A224" s="499"/>
      <c r="B224" s="499"/>
      <c r="C224" s="499"/>
      <c r="D224" s="499"/>
      <c r="E224" s="499"/>
      <c r="F224" s="499"/>
      <c r="G224" s="499"/>
      <c r="H224" s="499"/>
      <c r="I224" s="499"/>
      <c r="J224" s="499"/>
      <c r="K224" s="41"/>
      <c r="L224" s="41"/>
      <c r="M224" s="41"/>
      <c r="N224" s="561"/>
      <c r="O224" s="562"/>
      <c r="P224" s="562"/>
      <c r="Q224" s="562"/>
      <c r="R224" s="562"/>
      <c r="S224" s="563"/>
      <c r="T224" s="41"/>
    </row>
    <row r="225" spans="1:20" s="269" customFormat="1" ht="15" customHeight="1" x14ac:dyDescent="0.25">
      <c r="A225" s="499"/>
      <c r="B225" s="499"/>
      <c r="C225" s="499"/>
      <c r="D225" s="499"/>
      <c r="E225" s="499"/>
      <c r="F225" s="499"/>
      <c r="G225" s="499"/>
      <c r="H225" s="499"/>
      <c r="I225" s="499"/>
      <c r="J225" s="499"/>
      <c r="K225" s="41"/>
      <c r="L225" s="41"/>
      <c r="M225" s="41"/>
      <c r="N225" s="561"/>
      <c r="O225" s="562"/>
      <c r="P225" s="562"/>
      <c r="Q225" s="562"/>
      <c r="R225" s="562"/>
      <c r="S225" s="563"/>
      <c r="T225" s="41"/>
    </row>
    <row r="226" spans="1:20" s="269" customFormat="1" x14ac:dyDescent="0.25">
      <c r="A226" s="332"/>
      <c r="B226" s="332"/>
      <c r="C226" s="332"/>
      <c r="D226" s="332"/>
      <c r="E226" s="332"/>
      <c r="F226" s="332"/>
      <c r="G226" s="332"/>
      <c r="H226" s="332"/>
      <c r="I226" s="332"/>
      <c r="J226" s="332"/>
      <c r="K226" s="41"/>
      <c r="L226" s="41"/>
      <c r="M226" s="41"/>
      <c r="N226" s="561"/>
      <c r="O226" s="562"/>
      <c r="P226" s="562"/>
      <c r="Q226" s="562"/>
      <c r="R226" s="562"/>
      <c r="S226" s="563"/>
      <c r="T226" s="41"/>
    </row>
    <row r="227" spans="1:20" s="269" customFormat="1" ht="15" customHeight="1" x14ac:dyDescent="0.25">
      <c r="A227" s="498" t="s">
        <v>1019</v>
      </c>
      <c r="B227" s="498"/>
      <c r="C227" s="498"/>
      <c r="D227" s="498"/>
      <c r="E227" s="498"/>
      <c r="F227" s="498"/>
      <c r="G227" s="498"/>
      <c r="H227" s="498"/>
      <c r="I227" s="498"/>
      <c r="J227" s="498"/>
      <c r="K227" s="41"/>
      <c r="L227" s="41"/>
      <c r="M227" s="41"/>
      <c r="N227" s="561"/>
      <c r="O227" s="562"/>
      <c r="P227" s="562"/>
      <c r="Q227" s="562"/>
      <c r="R227" s="562"/>
      <c r="S227" s="563"/>
      <c r="T227" s="41"/>
    </row>
    <row r="228" spans="1:20" s="269" customFormat="1" ht="15" customHeight="1" x14ac:dyDescent="0.25">
      <c r="A228" s="498"/>
      <c r="B228" s="498"/>
      <c r="C228" s="498"/>
      <c r="D228" s="498"/>
      <c r="E228" s="498"/>
      <c r="F228" s="498"/>
      <c r="G228" s="498"/>
      <c r="H228" s="498"/>
      <c r="I228" s="498"/>
      <c r="J228" s="498"/>
      <c r="K228" s="41"/>
      <c r="L228" s="41"/>
      <c r="M228" s="41"/>
      <c r="N228" s="561"/>
      <c r="O228" s="562"/>
      <c r="P228" s="562"/>
      <c r="Q228" s="562"/>
      <c r="R228" s="562"/>
      <c r="S228" s="563"/>
      <c r="T228" s="41"/>
    </row>
    <row r="229" spans="1:20" s="269" customFormat="1" x14ac:dyDescent="0.25">
      <c r="A229" s="498"/>
      <c r="B229" s="498"/>
      <c r="C229" s="498"/>
      <c r="D229" s="498"/>
      <c r="E229" s="498"/>
      <c r="F229" s="498"/>
      <c r="G229" s="498"/>
      <c r="H229" s="498"/>
      <c r="I229" s="498"/>
      <c r="J229" s="498"/>
      <c r="K229" s="41"/>
      <c r="L229" s="41"/>
      <c r="M229" s="41"/>
      <c r="N229" s="561"/>
      <c r="O229" s="562"/>
      <c r="P229" s="562"/>
      <c r="Q229" s="562"/>
      <c r="R229" s="562"/>
      <c r="S229" s="563"/>
      <c r="T229" s="41"/>
    </row>
    <row r="230" spans="1:20" s="269" customFormat="1" x14ac:dyDescent="0.25">
      <c r="A230" s="498"/>
      <c r="B230" s="498"/>
      <c r="C230" s="498"/>
      <c r="D230" s="498"/>
      <c r="E230" s="498"/>
      <c r="F230" s="498"/>
      <c r="G230" s="498"/>
      <c r="H230" s="498"/>
      <c r="I230" s="498"/>
      <c r="J230" s="498"/>
      <c r="K230" s="41"/>
      <c r="L230" s="41"/>
      <c r="M230" s="41"/>
      <c r="N230" s="561"/>
      <c r="O230" s="562"/>
      <c r="P230" s="562"/>
      <c r="Q230" s="562"/>
      <c r="R230" s="562"/>
      <c r="S230" s="563"/>
      <c r="T230" s="41"/>
    </row>
    <row r="231" spans="1:20" s="269" customFormat="1" ht="12.75" customHeight="1" x14ac:dyDescent="0.25">
      <c r="A231" s="332"/>
      <c r="B231" s="332"/>
      <c r="C231" s="332"/>
      <c r="D231" s="332"/>
      <c r="E231" s="332"/>
      <c r="F231" s="332"/>
      <c r="G231" s="332"/>
      <c r="H231" s="332"/>
      <c r="I231" s="332"/>
      <c r="J231" s="332"/>
      <c r="K231" s="41"/>
      <c r="L231" s="41"/>
      <c r="M231" s="41"/>
      <c r="N231" s="561"/>
      <c r="O231" s="562"/>
      <c r="P231" s="562"/>
      <c r="Q231" s="562"/>
      <c r="R231" s="562"/>
      <c r="S231" s="563"/>
      <c r="T231" s="41"/>
    </row>
    <row r="232" spans="1:20" s="269" customFormat="1" ht="15.75" customHeight="1" x14ac:dyDescent="0.25">
      <c r="A232" s="601" t="s">
        <v>1017</v>
      </c>
      <c r="B232" s="601"/>
      <c r="C232" s="601"/>
      <c r="D232" s="601"/>
      <c r="E232" s="601"/>
      <c r="F232" s="601"/>
      <c r="G232" s="601"/>
      <c r="H232" s="601"/>
      <c r="I232" s="601"/>
      <c r="J232" s="601"/>
      <c r="K232" s="41"/>
      <c r="L232" s="41"/>
      <c r="M232" s="41"/>
      <c r="N232" s="561"/>
      <c r="O232" s="562"/>
      <c r="P232" s="562"/>
      <c r="Q232" s="562"/>
      <c r="R232" s="562"/>
      <c r="S232" s="563"/>
      <c r="T232" s="41"/>
    </row>
    <row r="233" spans="1:20" s="269" customFormat="1" ht="18.75" customHeight="1" thickBot="1" x14ac:dyDescent="0.3">
      <c r="A233" s="734" t="s">
        <v>1031</v>
      </c>
      <c r="B233" s="734"/>
      <c r="C233" s="734"/>
      <c r="D233" s="734"/>
      <c r="E233" s="734"/>
      <c r="F233" s="734"/>
      <c r="G233" s="734"/>
      <c r="H233" s="734"/>
      <c r="I233" s="370"/>
      <c r="J233" s="370"/>
      <c r="K233" s="41"/>
      <c r="L233" s="41"/>
      <c r="M233" s="41"/>
      <c r="N233" s="561"/>
      <c r="O233" s="562"/>
      <c r="P233" s="562"/>
      <c r="Q233" s="562"/>
      <c r="R233" s="562"/>
      <c r="S233" s="563"/>
      <c r="T233" s="41"/>
    </row>
    <row r="234" spans="1:20" s="269" customFormat="1" x14ac:dyDescent="0.25">
      <c r="A234" s="733" t="s">
        <v>1003</v>
      </c>
      <c r="B234" s="733"/>
      <c r="C234" s="733"/>
      <c r="D234" s="733"/>
      <c r="E234" s="733"/>
      <c r="F234" s="733"/>
      <c r="G234" s="733"/>
      <c r="H234" s="733"/>
      <c r="I234" s="658" t="s">
        <v>379</v>
      </c>
      <c r="J234" s="659"/>
      <c r="K234" s="41"/>
      <c r="L234" s="41"/>
      <c r="M234" s="41"/>
      <c r="N234" s="561"/>
      <c r="O234" s="562"/>
      <c r="P234" s="562"/>
      <c r="Q234" s="562"/>
      <c r="R234" s="562"/>
      <c r="S234" s="563"/>
      <c r="T234" s="41"/>
    </row>
    <row r="235" spans="1:20" s="269" customFormat="1" ht="15.75" thickBot="1" x14ac:dyDescent="0.3">
      <c r="A235" s="733"/>
      <c r="B235" s="733"/>
      <c r="C235" s="733"/>
      <c r="D235" s="733"/>
      <c r="E235" s="733"/>
      <c r="F235" s="733"/>
      <c r="G235" s="733"/>
      <c r="H235" s="733"/>
      <c r="I235" s="660"/>
      <c r="J235" s="661"/>
      <c r="K235" s="41"/>
      <c r="L235" s="41"/>
      <c r="M235" s="41"/>
      <c r="N235" s="564"/>
      <c r="O235" s="565"/>
      <c r="P235" s="565"/>
      <c r="Q235" s="565"/>
      <c r="R235" s="565"/>
      <c r="S235" s="566"/>
      <c r="T235" s="41"/>
    </row>
    <row r="236" spans="1:20" s="269" customFormat="1" ht="19.5" customHeight="1" thickBot="1" x14ac:dyDescent="0.3">
      <c r="A236" s="739" t="str">
        <f>IFERROR(IF(OR(ISTEXT(VLOOKUP(CHECKING!$D$29,Dropdowns!$O$4:$O$43,1,FALSE)),ISTEXT(VLOOKUP(CHECKING!$D$33,Dropdowns!$O$4:$O$43,1,FALSE)),ISTEXT(VLOOKUP(CHECKING!$D$34,Dropdowns!$O$4:$O$43,1,FALSE))),"Applicant is from a country whose nationals are exempt from this requirement - ATAS not required",""),"")</f>
        <v/>
      </c>
      <c r="B236" s="739"/>
      <c r="C236" s="739"/>
      <c r="D236" s="739"/>
      <c r="E236" s="739"/>
      <c r="F236" s="739"/>
      <c r="G236" s="739"/>
      <c r="H236" s="739"/>
      <c r="I236" s="739"/>
      <c r="J236" s="739"/>
      <c r="K236" s="41"/>
      <c r="L236" s="41"/>
      <c r="M236" s="41"/>
      <c r="N236" s="364"/>
      <c r="O236" s="364"/>
      <c r="P236" s="364"/>
      <c r="Q236" s="364"/>
      <c r="R236" s="364"/>
      <c r="S236" s="364"/>
      <c r="T236" s="41"/>
    </row>
    <row r="237" spans="1:20" s="269" customFormat="1" ht="19.5" customHeight="1" thickBot="1" x14ac:dyDescent="0.3">
      <c r="A237" s="701" t="s">
        <v>1018</v>
      </c>
      <c r="B237" s="701"/>
      <c r="C237" s="701"/>
      <c r="D237" s="701"/>
      <c r="E237" s="701"/>
      <c r="F237" s="701"/>
      <c r="G237" s="494"/>
      <c r="H237" s="495"/>
      <c r="I237" s="495"/>
      <c r="J237" s="496"/>
      <c r="K237" s="41"/>
      <c r="L237" s="41"/>
      <c r="M237" s="41"/>
      <c r="N237" s="558"/>
      <c r="O237" s="559"/>
      <c r="P237" s="559"/>
      <c r="Q237" s="559"/>
      <c r="R237" s="559"/>
      <c r="S237" s="560"/>
      <c r="T237" s="41"/>
    </row>
    <row r="238" spans="1:20" s="269" customFormat="1" ht="19.5" customHeight="1" thickBot="1" x14ac:dyDescent="0.3">
      <c r="A238" s="701"/>
      <c r="B238" s="701"/>
      <c r="C238" s="701"/>
      <c r="D238" s="701"/>
      <c r="E238" s="701"/>
      <c r="F238" s="701"/>
      <c r="G238" s="494"/>
      <c r="H238" s="495"/>
      <c r="I238" s="495"/>
      <c r="J238" s="496"/>
      <c r="K238" s="41"/>
      <c r="L238" s="41"/>
      <c r="M238" s="41"/>
      <c r="N238" s="561"/>
      <c r="O238" s="562"/>
      <c r="P238" s="562"/>
      <c r="Q238" s="562"/>
      <c r="R238" s="562"/>
      <c r="S238" s="563"/>
      <c r="T238" s="41"/>
    </row>
    <row r="239" spans="1:20" s="269" customFormat="1" ht="19.5" customHeight="1" thickBot="1" x14ac:dyDescent="0.3">
      <c r="A239" s="701"/>
      <c r="B239" s="701"/>
      <c r="C239" s="701"/>
      <c r="D239" s="701"/>
      <c r="E239" s="701"/>
      <c r="F239" s="701"/>
      <c r="G239" s="494"/>
      <c r="H239" s="495"/>
      <c r="I239" s="495"/>
      <c r="J239" s="496"/>
      <c r="K239" s="41"/>
      <c r="L239" s="41"/>
      <c r="M239" s="41"/>
      <c r="N239" s="561"/>
      <c r="O239" s="562"/>
      <c r="P239" s="562"/>
      <c r="Q239" s="562"/>
      <c r="R239" s="562"/>
      <c r="S239" s="563"/>
      <c r="T239" s="41"/>
    </row>
    <row r="240" spans="1:20" s="269" customFormat="1" ht="19.5" customHeight="1" thickBot="1" x14ac:dyDescent="0.3">
      <c r="A240" s="737" t="s">
        <v>1032</v>
      </c>
      <c r="B240" s="737"/>
      <c r="C240" s="737"/>
      <c r="D240" s="737"/>
      <c r="E240" s="737"/>
      <c r="F240" s="737"/>
      <c r="G240" s="735" t="s">
        <v>1033</v>
      </c>
      <c r="H240" s="735"/>
      <c r="I240" s="736"/>
      <c r="J240" s="365" t="s">
        <v>379</v>
      </c>
      <c r="K240" s="41"/>
      <c r="L240" s="41"/>
      <c r="M240" s="41"/>
      <c r="N240" s="561"/>
      <c r="O240" s="562"/>
      <c r="P240" s="562"/>
      <c r="Q240" s="562"/>
      <c r="R240" s="562"/>
      <c r="S240" s="563"/>
      <c r="T240" s="41"/>
    </row>
    <row r="241" spans="1:20" s="269" customFormat="1" ht="19.5" customHeight="1" x14ac:dyDescent="0.25">
      <c r="A241" s="662" t="s">
        <v>1182</v>
      </c>
      <c r="B241" s="662"/>
      <c r="C241" s="662"/>
      <c r="D241" s="662"/>
      <c r="E241" s="662"/>
      <c r="F241" s="662"/>
      <c r="G241" s="662"/>
      <c r="H241" s="662"/>
      <c r="I241" s="662"/>
      <c r="J241" s="662"/>
      <c r="K241" s="41"/>
      <c r="L241" s="41"/>
      <c r="M241" s="41"/>
      <c r="N241" s="561"/>
      <c r="O241" s="562"/>
      <c r="P241" s="562"/>
      <c r="Q241" s="562"/>
      <c r="R241" s="562"/>
      <c r="S241" s="563"/>
      <c r="T241" s="41"/>
    </row>
    <row r="242" spans="1:20" ht="15.75" x14ac:dyDescent="0.25">
      <c r="A242" s="699" t="s">
        <v>1016</v>
      </c>
      <c r="B242" s="699"/>
      <c r="C242" s="699"/>
      <c r="D242" s="699"/>
      <c r="E242" s="700" t="s">
        <v>1015</v>
      </c>
      <c r="F242" s="700"/>
      <c r="G242" s="700"/>
      <c r="H242" s="700"/>
      <c r="I242" s="700"/>
      <c r="J242" s="700"/>
      <c r="K242" s="41"/>
      <c r="L242" s="41"/>
      <c r="M242" s="41"/>
      <c r="N242" s="564"/>
      <c r="O242" s="565"/>
      <c r="P242" s="565"/>
      <c r="Q242" s="565"/>
      <c r="R242" s="565"/>
      <c r="S242" s="566"/>
      <c r="T242" s="41"/>
    </row>
    <row r="243" spans="1:20" s="269" customFormat="1" ht="15.75" x14ac:dyDescent="0.25">
      <c r="A243" s="443"/>
      <c r="B243" s="443"/>
      <c r="C243" s="443"/>
      <c r="D243" s="443"/>
      <c r="E243" s="444"/>
      <c r="F243" s="444"/>
      <c r="G243" s="444"/>
      <c r="H243" s="444"/>
      <c r="I243" s="444"/>
      <c r="J243" s="444"/>
      <c r="K243" s="41"/>
      <c r="L243" s="41"/>
      <c r="M243" s="41"/>
      <c r="N243" s="441"/>
      <c r="O243" s="441"/>
      <c r="P243" s="441"/>
      <c r="Q243" s="441"/>
      <c r="R243" s="441"/>
      <c r="S243" s="441"/>
      <c r="T243" s="41"/>
    </row>
    <row r="244" spans="1:20" x14ac:dyDescent="0.25">
      <c r="A244" s="473" t="s">
        <v>763</v>
      </c>
      <c r="B244" s="473"/>
      <c r="C244" s="473"/>
      <c r="D244" s="473"/>
      <c r="E244" s="473"/>
      <c r="F244" s="473"/>
      <c r="G244" s="473"/>
      <c r="H244" s="473"/>
      <c r="I244" s="473"/>
      <c r="J244" s="473"/>
      <c r="K244" s="41"/>
      <c r="L244" s="41"/>
      <c r="M244" s="41"/>
      <c r="N244" s="41"/>
      <c r="O244" s="41"/>
      <c r="P244" s="41"/>
      <c r="Q244" s="41"/>
      <c r="R244" s="41"/>
      <c r="S244" s="41"/>
      <c r="T244" s="41"/>
    </row>
    <row r="245" spans="1:20" ht="15.75" thickBot="1" x14ac:dyDescent="0.3">
      <c r="A245" s="45"/>
      <c r="B245" s="45"/>
      <c r="C245" s="45"/>
      <c r="D245" s="45"/>
      <c r="E245" s="45"/>
      <c r="F245" s="45"/>
      <c r="G245" s="45"/>
      <c r="H245" s="45"/>
      <c r="I245" s="45"/>
      <c r="J245" s="45"/>
      <c r="K245" s="98"/>
      <c r="L245" s="98"/>
      <c r="M245" s="98"/>
      <c r="N245" s="98"/>
      <c r="O245" s="98"/>
      <c r="P245" s="98"/>
      <c r="Q245" s="98"/>
      <c r="R245" s="98"/>
      <c r="S245" s="98"/>
      <c r="T245" s="98"/>
    </row>
    <row r="246" spans="1:20" ht="15.75" thickBot="1" x14ac:dyDescent="0.3">
      <c r="A246" s="72" t="s">
        <v>889</v>
      </c>
      <c r="B246" s="45"/>
      <c r="C246" s="45"/>
      <c r="D246" s="45"/>
      <c r="E246" s="45"/>
      <c r="F246" s="628"/>
      <c r="G246" s="629"/>
      <c r="H246" s="629"/>
      <c r="I246" s="630"/>
      <c r="J246" s="45"/>
      <c r="K246" s="41"/>
      <c r="L246" s="41"/>
      <c r="M246" s="41"/>
      <c r="N246" s="721"/>
      <c r="O246" s="722"/>
      <c r="P246" s="722"/>
      <c r="Q246" s="722"/>
      <c r="R246" s="722"/>
      <c r="S246" s="723"/>
      <c r="T246" s="41"/>
    </row>
    <row r="247" spans="1:20" ht="15.75" thickBot="1" x14ac:dyDescent="0.3">
      <c r="A247" s="72" t="s">
        <v>767</v>
      </c>
      <c r="B247" s="45"/>
      <c r="C247" s="45"/>
      <c r="D247" s="45"/>
      <c r="E247" s="45"/>
      <c r="F247" s="628"/>
      <c r="G247" s="629"/>
      <c r="H247" s="629"/>
      <c r="I247" s="630"/>
      <c r="J247" s="45"/>
      <c r="K247" s="41"/>
      <c r="L247" s="41"/>
      <c r="M247" s="41"/>
      <c r="N247" s="41"/>
      <c r="O247" s="41"/>
      <c r="P247" s="41"/>
      <c r="Q247" s="41"/>
      <c r="R247" s="41"/>
      <c r="S247" s="41"/>
      <c r="T247" s="41"/>
    </row>
    <row r="248" spans="1:20" x14ac:dyDescent="0.25">
      <c r="A248" s="45"/>
      <c r="B248" s="45"/>
      <c r="C248" s="100"/>
      <c r="D248" s="726" t="str">
        <f>IF($F$246&lt;&gt;"",IF(OR(LEN(SUBSTITUTE($F$246," ",""))&lt;&gt;9,ISNUMBER(VALUE(LEFT($F$246,1))),ISNUMBER(VALUE(MID($F$246,2,1))),ISERROR(VALUE(MID(SUBSTITUTE($F$246," ",""),3,6))),ISNUMBER(VALUE(RIGHT($F$246,1)))),"National Insurance Numbers are in the format AB 12 34 56 C",""),"")</f>
        <v/>
      </c>
      <c r="E248" s="726"/>
      <c r="F248" s="726"/>
      <c r="G248" s="726"/>
      <c r="H248" s="726"/>
      <c r="I248" s="726"/>
      <c r="J248" s="726"/>
      <c r="K248" s="41"/>
      <c r="L248" s="41"/>
      <c r="M248" s="41"/>
      <c r="N248" s="41"/>
      <c r="O248" s="41"/>
      <c r="P248" s="41"/>
      <c r="Q248" s="41"/>
      <c r="R248" s="41"/>
      <c r="S248" s="41"/>
      <c r="T248" s="41"/>
    </row>
    <row r="249" spans="1:20" x14ac:dyDescent="0.25">
      <c r="A249" s="472" t="s">
        <v>768</v>
      </c>
      <c r="B249" s="472"/>
      <c r="C249" s="472"/>
      <c r="D249" s="472"/>
      <c r="E249" s="472"/>
      <c r="F249" s="472"/>
      <c r="G249" s="472"/>
      <c r="H249" s="472"/>
      <c r="I249" s="472"/>
      <c r="J249" s="472"/>
      <c r="K249" s="41"/>
      <c r="L249" s="41"/>
      <c r="M249" s="41"/>
      <c r="N249" s="41"/>
      <c r="O249" s="41"/>
      <c r="P249" s="41"/>
      <c r="Q249" s="41"/>
      <c r="R249" s="41"/>
      <c r="S249" s="41"/>
      <c r="T249" s="41"/>
    </row>
    <row r="250" spans="1:20" s="269" customFormat="1" ht="15" customHeight="1" x14ac:dyDescent="0.25">
      <c r="A250" s="484" t="s">
        <v>1174</v>
      </c>
      <c r="B250" s="485"/>
      <c r="C250" s="485"/>
      <c r="D250" s="485"/>
      <c r="E250" s="485"/>
      <c r="F250" s="485"/>
      <c r="G250" s="485"/>
      <c r="H250" s="485"/>
      <c r="I250" s="485"/>
      <c r="J250" s="486"/>
      <c r="K250" s="41"/>
      <c r="L250" s="41"/>
      <c r="M250" s="41"/>
      <c r="N250" s="41"/>
      <c r="O250" s="41"/>
      <c r="P250" s="41"/>
      <c r="Q250" s="41"/>
      <c r="R250" s="41"/>
      <c r="S250" s="41"/>
      <c r="T250" s="41"/>
    </row>
    <row r="251" spans="1:20" s="269" customFormat="1" ht="15.75" customHeight="1" x14ac:dyDescent="0.25">
      <c r="A251" s="487"/>
      <c r="B251" s="488"/>
      <c r="C251" s="488"/>
      <c r="D251" s="488"/>
      <c r="E251" s="488"/>
      <c r="F251" s="488"/>
      <c r="G251" s="488"/>
      <c r="H251" s="488"/>
      <c r="I251" s="488"/>
      <c r="J251" s="489"/>
      <c r="K251" s="41"/>
      <c r="L251" s="41"/>
      <c r="M251" s="41"/>
      <c r="N251" s="41"/>
      <c r="O251" s="41"/>
      <c r="P251" s="41"/>
      <c r="Q251" s="41"/>
      <c r="R251" s="41"/>
      <c r="S251" s="41"/>
      <c r="T251" s="41"/>
    </row>
    <row r="252" spans="1:20" s="269" customFormat="1" x14ac:dyDescent="0.25">
      <c r="A252" s="487"/>
      <c r="B252" s="488"/>
      <c r="C252" s="488"/>
      <c r="D252" s="488"/>
      <c r="E252" s="488"/>
      <c r="F252" s="488"/>
      <c r="G252" s="488"/>
      <c r="H252" s="488"/>
      <c r="I252" s="488"/>
      <c r="J252" s="489"/>
      <c r="K252" s="41"/>
      <c r="L252" s="41"/>
      <c r="M252" s="41"/>
      <c r="N252" s="41"/>
      <c r="O252" s="41"/>
      <c r="P252" s="41"/>
      <c r="Q252" s="41"/>
      <c r="R252" s="41"/>
      <c r="S252" s="41"/>
      <c r="T252" s="41"/>
    </row>
    <row r="253" spans="1:20" s="269" customFormat="1" ht="18" customHeight="1" x14ac:dyDescent="0.25">
      <c r="A253" s="490"/>
      <c r="B253" s="491"/>
      <c r="C253" s="491"/>
      <c r="D253" s="491"/>
      <c r="E253" s="491"/>
      <c r="F253" s="491"/>
      <c r="G253" s="491"/>
      <c r="H253" s="491"/>
      <c r="I253" s="491"/>
      <c r="J253" s="492"/>
      <c r="K253" s="41"/>
      <c r="L253" s="41"/>
      <c r="M253" s="41"/>
      <c r="N253" s="41"/>
      <c r="O253" s="41"/>
      <c r="P253" s="41"/>
      <c r="Q253" s="41"/>
      <c r="R253" s="41"/>
      <c r="S253" s="41"/>
      <c r="T253" s="41"/>
    </row>
    <row r="254" spans="1:20" s="269" customFormat="1" ht="18" customHeight="1" x14ac:dyDescent="0.25">
      <c r="A254" s="475" t="s">
        <v>1181</v>
      </c>
      <c r="B254" s="476"/>
      <c r="C254" s="476"/>
      <c r="D254" s="476"/>
      <c r="E254" s="476"/>
      <c r="F254" s="476"/>
      <c r="G254" s="476"/>
      <c r="H254" s="476"/>
      <c r="I254" s="476"/>
      <c r="J254" s="477"/>
      <c r="K254" s="41"/>
      <c r="L254" s="41"/>
      <c r="M254" s="41"/>
      <c r="N254" s="41"/>
      <c r="O254" s="41"/>
      <c r="P254" s="41"/>
      <c r="Q254" s="41"/>
      <c r="R254" s="41"/>
      <c r="S254" s="41"/>
      <c r="T254" s="41"/>
    </row>
    <row r="255" spans="1:20" s="269" customFormat="1" ht="18" customHeight="1" x14ac:dyDescent="0.25">
      <c r="A255" s="478"/>
      <c r="B255" s="479"/>
      <c r="C255" s="479"/>
      <c r="D255" s="479"/>
      <c r="E255" s="479"/>
      <c r="F255" s="479"/>
      <c r="G255" s="479"/>
      <c r="H255" s="479"/>
      <c r="I255" s="479"/>
      <c r="J255" s="480"/>
      <c r="K255" s="41"/>
      <c r="L255" s="41"/>
      <c r="M255" s="41"/>
      <c r="N255" s="465"/>
      <c r="O255" s="17"/>
      <c r="P255" s="17"/>
      <c r="Q255" s="17"/>
      <c r="R255" s="17"/>
      <c r="S255" s="17"/>
      <c r="T255" s="41"/>
    </row>
    <row r="256" spans="1:20" s="269" customFormat="1" ht="24.75" customHeight="1" x14ac:dyDescent="0.25">
      <c r="A256" s="481"/>
      <c r="B256" s="482"/>
      <c r="C256" s="482"/>
      <c r="D256" s="482"/>
      <c r="E256" s="482"/>
      <c r="F256" s="482"/>
      <c r="G256" s="482"/>
      <c r="H256" s="482"/>
      <c r="I256" s="482"/>
      <c r="J256" s="483"/>
      <c r="K256" s="41"/>
      <c r="L256" s="41"/>
      <c r="M256" s="41"/>
      <c r="N256" s="465"/>
      <c r="O256" s="465"/>
      <c r="P256" s="465"/>
      <c r="Q256" s="465"/>
      <c r="R256" s="465"/>
      <c r="S256" s="465"/>
      <c r="T256" s="41"/>
    </row>
    <row r="257" spans="1:20" s="269" customFormat="1" ht="14.25" customHeight="1" x14ac:dyDescent="0.25">
      <c r="A257" s="484" t="s">
        <v>1175</v>
      </c>
      <c r="B257" s="485"/>
      <c r="C257" s="485"/>
      <c r="D257" s="485"/>
      <c r="E257" s="485"/>
      <c r="F257" s="485"/>
      <c r="G257" s="485"/>
      <c r="H257" s="485"/>
      <c r="I257" s="485"/>
      <c r="J257" s="486"/>
      <c r="K257" s="41"/>
      <c r="L257" s="41"/>
      <c r="M257" s="41"/>
      <c r="N257" s="41"/>
      <c r="O257" s="41"/>
      <c r="P257" s="41"/>
      <c r="Q257" s="41"/>
      <c r="R257" s="41"/>
      <c r="S257" s="41"/>
      <c r="T257" s="41"/>
    </row>
    <row r="258" spans="1:20" s="269" customFormat="1" ht="17.25" customHeight="1" x14ac:dyDescent="0.25">
      <c r="A258" s="487"/>
      <c r="B258" s="488"/>
      <c r="C258" s="488"/>
      <c r="D258" s="488"/>
      <c r="E258" s="488"/>
      <c r="F258" s="488"/>
      <c r="G258" s="488"/>
      <c r="H258" s="488"/>
      <c r="I258" s="488"/>
      <c r="J258" s="489"/>
      <c r="K258" s="41"/>
      <c r="L258" s="41"/>
      <c r="M258" s="41"/>
      <c r="N258" s="41"/>
      <c r="O258" s="41"/>
      <c r="P258" s="41"/>
      <c r="Q258" s="41"/>
      <c r="R258" s="41"/>
      <c r="S258" s="41"/>
      <c r="T258" s="41"/>
    </row>
    <row r="259" spans="1:20" s="269" customFormat="1" ht="15" customHeight="1" x14ac:dyDescent="0.25">
      <c r="A259" s="487"/>
      <c r="B259" s="488"/>
      <c r="C259" s="488"/>
      <c r="D259" s="488"/>
      <c r="E259" s="488"/>
      <c r="F259" s="488"/>
      <c r="G259" s="488"/>
      <c r="H259" s="488"/>
      <c r="I259" s="488"/>
      <c r="J259" s="489"/>
      <c r="K259" s="41"/>
      <c r="L259" s="41"/>
      <c r="M259" s="41"/>
      <c r="N259" s="41"/>
      <c r="O259" s="41"/>
      <c r="P259" s="41"/>
      <c r="Q259" s="41"/>
      <c r="R259" s="41"/>
      <c r="S259" s="41"/>
      <c r="T259" s="41"/>
    </row>
    <row r="260" spans="1:20" s="269" customFormat="1" ht="15.75" customHeight="1" x14ac:dyDescent="0.25">
      <c r="A260" s="490"/>
      <c r="B260" s="491"/>
      <c r="C260" s="491"/>
      <c r="D260" s="491"/>
      <c r="E260" s="491"/>
      <c r="F260" s="491"/>
      <c r="G260" s="491"/>
      <c r="H260" s="491"/>
      <c r="I260" s="491"/>
      <c r="J260" s="492"/>
      <c r="K260" s="41"/>
      <c r="L260" s="41"/>
      <c r="M260" s="41"/>
      <c r="N260" s="41"/>
      <c r="O260" s="41"/>
      <c r="P260" s="41"/>
      <c r="Q260" s="41"/>
      <c r="R260" s="41"/>
      <c r="S260" s="41"/>
      <c r="T260" s="41"/>
    </row>
    <row r="261" spans="1:20" s="269" customFormat="1" ht="14.25" customHeight="1" thickBot="1" x14ac:dyDescent="0.3">
      <c r="A261" s="470" t="str">
        <f>IF(AND(CHECKING!$B$5=FALSE,CHECKING!$B$6=FALSE),"Sections above must be completed before this section!","")</f>
        <v>Sections above must be completed before this section!</v>
      </c>
      <c r="B261" s="470"/>
      <c r="C261" s="470"/>
      <c r="D261" s="470"/>
      <c r="E261" s="470"/>
      <c r="F261" s="470"/>
      <c r="G261" s="470"/>
      <c r="H261" s="470"/>
      <c r="I261" s="470"/>
      <c r="J261" s="470"/>
      <c r="K261" s="41"/>
      <c r="L261" s="41"/>
      <c r="M261" s="41"/>
      <c r="N261" s="41"/>
      <c r="O261" s="41"/>
      <c r="P261" s="41"/>
      <c r="Q261" s="41"/>
      <c r="R261" s="41"/>
      <c r="S261" s="41"/>
      <c r="T261" s="41"/>
    </row>
    <row r="262" spans="1:20" s="269" customFormat="1" ht="15.75" customHeight="1" thickBot="1" x14ac:dyDescent="0.3">
      <c r="A262" s="493" t="s">
        <v>1179</v>
      </c>
      <c r="B262" s="493"/>
      <c r="C262" s="493"/>
      <c r="D262" s="493"/>
      <c r="E262" s="493"/>
      <c r="F262" s="493"/>
      <c r="G262" s="493"/>
      <c r="H262" s="493"/>
      <c r="I262" s="460" t="s">
        <v>379</v>
      </c>
      <c r="J262" s="471" t="str">
        <f>IF($I$262="","can't be blank","")</f>
        <v/>
      </c>
      <c r="K262" s="41"/>
      <c r="L262" s="41"/>
      <c r="M262" s="41"/>
      <c r="N262" s="41"/>
      <c r="O262" s="41"/>
      <c r="P262" s="41"/>
      <c r="Q262" s="41"/>
      <c r="R262" s="41"/>
      <c r="S262" s="41"/>
      <c r="T262" s="41"/>
    </row>
    <row r="263" spans="1:20" ht="18.75" customHeight="1" thickBot="1" x14ac:dyDescent="0.3">
      <c r="A263" s="493"/>
      <c r="B263" s="493"/>
      <c r="C263" s="493"/>
      <c r="D263" s="493"/>
      <c r="E263" s="493"/>
      <c r="F263" s="493"/>
      <c r="G263" s="493"/>
      <c r="H263" s="493"/>
      <c r="I263" s="45"/>
      <c r="J263" s="471"/>
      <c r="K263" s="91"/>
      <c r="L263" s="91"/>
      <c r="M263" s="91"/>
      <c r="N263" s="91"/>
      <c r="O263" s="91"/>
      <c r="P263" s="91"/>
      <c r="Q263" s="91"/>
      <c r="R263" s="91"/>
      <c r="S263" s="91"/>
      <c r="T263" s="91"/>
    </row>
    <row r="264" spans="1:20" ht="15.75" thickBot="1" x14ac:dyDescent="0.3">
      <c r="A264" s="103" t="s">
        <v>1172</v>
      </c>
      <c r="B264" s="45"/>
      <c r="C264" s="45"/>
      <c r="D264" s="45"/>
      <c r="E264" s="45"/>
      <c r="F264" s="625"/>
      <c r="G264" s="626"/>
      <c r="H264" s="627"/>
      <c r="I264" s="104" t="str">
        <f>IFERROR(IF($F$264&lt;&gt;"",TEXT($F$264,"dddd"),""),"")</f>
        <v/>
      </c>
      <c r="J264" s="45"/>
      <c r="K264" s="91"/>
      <c r="L264" s="91"/>
      <c r="M264" s="91"/>
      <c r="N264" s="568"/>
      <c r="O264" s="569"/>
      <c r="P264" s="569"/>
      <c r="Q264" s="569"/>
      <c r="R264" s="569"/>
      <c r="S264" s="570"/>
      <c r="T264" s="91"/>
    </row>
    <row r="265" spans="1:20" x14ac:dyDescent="0.25">
      <c r="A265" s="103"/>
      <c r="B265" s="45"/>
      <c r="C265" s="45"/>
      <c r="D265" s="90"/>
      <c r="E265" s="726" t="str">
        <f>IF(ISERROR(VLOOKUP($F$264,Dropdowns!$R$5:$T$28,3,FALSE)),"","Start date listed is "&amp;VLOOKUP($F$264,Dropdowns!$R$5:$T$28,3,FALSE))</f>
        <v/>
      </c>
      <c r="F265" s="726"/>
      <c r="G265" s="726"/>
      <c r="H265" s="726"/>
      <c r="I265" s="726"/>
      <c r="J265" s="90"/>
      <c r="K265" s="91"/>
      <c r="L265" s="91"/>
      <c r="M265" s="91"/>
      <c r="N265" s="571"/>
      <c r="O265" s="572"/>
      <c r="P265" s="572"/>
      <c r="Q265" s="572"/>
      <c r="R265" s="572"/>
      <c r="S265" s="573"/>
      <c r="T265" s="91"/>
    </row>
    <row r="266" spans="1:20" ht="15.75" customHeight="1" thickBot="1" x14ac:dyDescent="0.3">
      <c r="A266" s="731" t="str">
        <f ca="1">IFERROR(IF($F$264&lt;&gt;"",IF($F$264-TODAY()&lt;30,"This start date is not realistic",IF($F$264-TODAY()&lt;60,"CoS applications should normally be submitted three months before start date",IF($F$264-TODAY()&gt;120,"TOO EARLY! a new CoS can only be issued three months before the start date at the earliest",""))),""),"")</f>
        <v/>
      </c>
      <c r="B266" s="731"/>
      <c r="C266" s="731"/>
      <c r="D266" s="731"/>
      <c r="E266" s="731"/>
      <c r="F266" s="731"/>
      <c r="G266" s="731"/>
      <c r="H266" s="731"/>
      <c r="I266" s="731"/>
      <c r="J266" s="731"/>
      <c r="K266" s="91"/>
      <c r="L266" s="91"/>
      <c r="M266" s="91"/>
      <c r="N266" s="571"/>
      <c r="O266" s="572"/>
      <c r="P266" s="572"/>
      <c r="Q266" s="572"/>
      <c r="R266" s="572"/>
      <c r="S266" s="573"/>
      <c r="T266" s="91"/>
    </row>
    <row r="267" spans="1:20" ht="15.75" thickBot="1" x14ac:dyDescent="0.3">
      <c r="A267" s="103" t="s">
        <v>1173</v>
      </c>
      <c r="B267" s="45"/>
      <c r="C267" s="45"/>
      <c r="D267" s="45"/>
      <c r="E267" s="45"/>
      <c r="F267" s="654"/>
      <c r="G267" s="655"/>
      <c r="H267" s="656"/>
      <c r="I267" s="104" t="str">
        <f>IFERROR(IF($F$267&lt;&gt;"",TEXT($F$267,"dddd"),""),"")</f>
        <v/>
      </c>
      <c r="J267" s="105"/>
      <c r="K267" s="91"/>
      <c r="L267" s="91"/>
      <c r="M267" s="91"/>
      <c r="N267" s="571"/>
      <c r="O267" s="572"/>
      <c r="P267" s="572"/>
      <c r="Q267" s="572"/>
      <c r="R267" s="572"/>
      <c r="S267" s="573"/>
      <c r="T267" s="91"/>
    </row>
    <row r="268" spans="1:20" x14ac:dyDescent="0.25">
      <c r="A268" s="45"/>
      <c r="B268" s="45"/>
      <c r="C268" s="45"/>
      <c r="D268" s="45"/>
      <c r="E268" s="45"/>
      <c r="F268" s="45"/>
      <c r="G268" s="45"/>
      <c r="H268" s="45"/>
      <c r="I268" s="45"/>
      <c r="J268" s="106"/>
      <c r="K268" s="91"/>
      <c r="L268" s="91"/>
      <c r="M268" s="91"/>
      <c r="N268" s="571"/>
      <c r="O268" s="572"/>
      <c r="P268" s="572"/>
      <c r="Q268" s="572"/>
      <c r="R268" s="572"/>
      <c r="S268" s="573"/>
      <c r="T268" s="91"/>
    </row>
    <row r="269" spans="1:20" x14ac:dyDescent="0.25">
      <c r="A269" s="45"/>
      <c r="B269" s="107"/>
      <c r="C269" s="108" t="s">
        <v>774</v>
      </c>
      <c r="D269" s="109">
        <f>IFERROR(IF(OR($F$264="",$F$267=""),0,DATEDIF($F$264,$F$267+1,"Y")),0)</f>
        <v>0</v>
      </c>
      <c r="E269" s="107" t="s">
        <v>775</v>
      </c>
      <c r="F269" s="109">
        <f>IFERROR(IF(OR($F$264="",$F$267=""),0,DATEDIF($F$264,$F$267+1,"YM")),0)</f>
        <v>0</v>
      </c>
      <c r="G269" s="107" t="s">
        <v>776</v>
      </c>
      <c r="H269" s="109">
        <f>IFERROR(IF(OR($F$264="",$F$267=""),0,DATEDIF($F$264,$F$267+1,"MD")),0)</f>
        <v>0</v>
      </c>
      <c r="I269" s="107" t="s">
        <v>777</v>
      </c>
      <c r="J269" s="45"/>
      <c r="K269" s="91"/>
      <c r="L269" s="91"/>
      <c r="M269" s="91"/>
      <c r="N269" s="571"/>
      <c r="O269" s="572"/>
      <c r="P269" s="572"/>
      <c r="Q269" s="572"/>
      <c r="R269" s="572"/>
      <c r="S269" s="573"/>
      <c r="T269" s="91"/>
    </row>
    <row r="270" spans="1:20" ht="15.75" customHeight="1" x14ac:dyDescent="0.25">
      <c r="A270" s="45"/>
      <c r="B270" s="45"/>
      <c r="C270" s="45"/>
      <c r="D270" s="45"/>
      <c r="E270" s="45"/>
      <c r="F270" s="110" t="str">
        <f>IF(AND($F$264&lt;&gt;"",$F$267&lt;&gt;"",ISERROR(DATEDIF($F$264,$F$267,"Y"))),"Error in CoS dates!","")</f>
        <v/>
      </c>
      <c r="G270" s="45"/>
      <c r="H270" s="45"/>
      <c r="I270" s="45"/>
      <c r="J270" s="45"/>
      <c r="K270" s="91"/>
      <c r="L270" s="91"/>
      <c r="M270" s="91"/>
      <c r="N270" s="571"/>
      <c r="O270" s="572"/>
      <c r="P270" s="572"/>
      <c r="Q270" s="572"/>
      <c r="R270" s="572"/>
      <c r="S270" s="573"/>
      <c r="T270" s="91"/>
    </row>
    <row r="271" spans="1:20" s="269" customFormat="1" x14ac:dyDescent="0.25">
      <c r="A271" s="45"/>
      <c r="B271" s="45"/>
      <c r="C271" s="186" t="s">
        <v>1176</v>
      </c>
      <c r="D271" s="461">
        <f>IFERROR(IF(OR($F$264="",$F$267="",$J$262&lt;&gt;""),0,DATEDIF($F$264-IF(CHECKING!$B$5=TRUE,($I$262*7),0),$F$267+1+14,"Y")),0)</f>
        <v>0</v>
      </c>
      <c r="E271" s="45" t="s">
        <v>775</v>
      </c>
      <c r="F271" s="462">
        <f>IFERROR(IF(OR($F$264="",$F$267="",$J$262&lt;&gt;""),0,DATEDIF($F$264-IF(CHECKING!$B$5=TRUE,($I$262*7),0),$F$267+1+14,"YM")),0)</f>
        <v>0</v>
      </c>
      <c r="G271" s="45" t="s">
        <v>776</v>
      </c>
      <c r="H271" s="461">
        <f>IFERROR(IF(OR($F$264="",$F$267="",$J$262&lt;&gt;""),0,DATEDIF($F$264-IF(CHECKING!$B$5=TRUE,($I$262*7),0),$F$267+1+14,"MD")),0)</f>
        <v>0</v>
      </c>
      <c r="I271" s="45" t="s">
        <v>777</v>
      </c>
      <c r="J271" s="45"/>
      <c r="K271" s="276"/>
      <c r="L271" s="276"/>
      <c r="M271" s="276"/>
      <c r="N271" s="571"/>
      <c r="O271" s="572"/>
      <c r="P271" s="572"/>
      <c r="Q271" s="572"/>
      <c r="R271" s="572"/>
      <c r="S271" s="573"/>
      <c r="T271" s="276"/>
    </row>
    <row r="272" spans="1:20" s="269" customFormat="1" ht="11.25" customHeight="1" x14ac:dyDescent="0.25">
      <c r="A272" s="45"/>
      <c r="B272" s="45"/>
      <c r="C272" s="45"/>
      <c r="D272" s="45"/>
      <c r="E272" s="45"/>
      <c r="F272" s="110"/>
      <c r="G272" s="45"/>
      <c r="H272" s="45"/>
      <c r="I272" s="45"/>
      <c r="J272" s="45"/>
      <c r="K272" s="276"/>
      <c r="L272" s="276"/>
      <c r="M272" s="276"/>
      <c r="N272" s="571"/>
      <c r="O272" s="572"/>
      <c r="P272" s="572"/>
      <c r="Q272" s="572"/>
      <c r="R272" s="572"/>
      <c r="S272" s="573"/>
      <c r="T272" s="276"/>
    </row>
    <row r="273" spans="1:20" x14ac:dyDescent="0.25">
      <c r="A273" s="657" t="s">
        <v>778</v>
      </c>
      <c r="B273" s="657"/>
      <c r="C273" s="657"/>
      <c r="D273" s="657"/>
      <c r="E273" s="657"/>
      <c r="F273" s="201" t="str">
        <f>IFERROR(IF($F$267&lt;&gt;"",IF(AND($D$269=0,$F$269&lt;=3),"CoS applications for 3 months or less not normally practical",""),""),"")</f>
        <v/>
      </c>
      <c r="G273" s="111"/>
      <c r="H273" s="111"/>
      <c r="I273" s="111"/>
      <c r="J273" s="111"/>
      <c r="K273" s="91"/>
      <c r="L273" s="91"/>
      <c r="M273" s="91"/>
      <c r="N273" s="571"/>
      <c r="O273" s="572"/>
      <c r="P273" s="572"/>
      <c r="Q273" s="572"/>
      <c r="R273" s="572"/>
      <c r="S273" s="573"/>
      <c r="T273" s="91"/>
    </row>
    <row r="274" spans="1:20" x14ac:dyDescent="0.25">
      <c r="A274" s="657"/>
      <c r="B274" s="657"/>
      <c r="C274" s="657"/>
      <c r="D274" s="657"/>
      <c r="E274" s="657"/>
      <c r="F274" s="202" t="str">
        <f>IFERROR(IF(OR($D$269&gt;5,AND($D$269=5,OR($F$269&lt;&gt;0,$H$269&lt;&gt;0))),"Skilled Worker CoS can only be issued for a maximum period of 5 years",""),"")</f>
        <v/>
      </c>
      <c r="G274" s="112"/>
      <c r="H274" s="112"/>
      <c r="I274" s="112"/>
      <c r="J274" s="113"/>
      <c r="K274" s="91"/>
      <c r="L274" s="91"/>
      <c r="M274" s="91"/>
      <c r="N274" s="571"/>
      <c r="O274" s="572"/>
      <c r="P274" s="572"/>
      <c r="Q274" s="572"/>
      <c r="R274" s="572"/>
      <c r="S274" s="573"/>
      <c r="T274" s="91"/>
    </row>
    <row r="275" spans="1:20" x14ac:dyDescent="0.25">
      <c r="A275" s="657"/>
      <c r="B275" s="657"/>
      <c r="C275" s="657"/>
      <c r="D275" s="657"/>
      <c r="E275" s="657"/>
      <c r="F275" s="203"/>
      <c r="G275" s="112"/>
      <c r="H275" s="112"/>
      <c r="I275" s="112"/>
      <c r="J275" s="114"/>
      <c r="K275" s="91"/>
      <c r="L275" s="91"/>
      <c r="M275" s="91"/>
      <c r="N275" s="571"/>
      <c r="O275" s="572"/>
      <c r="P275" s="572"/>
      <c r="Q275" s="572"/>
      <c r="R275" s="572"/>
      <c r="S275" s="573"/>
      <c r="T275" s="91"/>
    </row>
    <row r="276" spans="1:20" x14ac:dyDescent="0.25">
      <c r="A276" s="657" t="s">
        <v>779</v>
      </c>
      <c r="B276" s="657"/>
      <c r="C276" s="657"/>
      <c r="D276" s="657"/>
      <c r="E276" s="657"/>
      <c r="F276" s="204" t="str">
        <f>IFERROR(IF(AND($D$269=3,$F$269&lt;=8,$H$269&gt;=0),"If over 3 years higher (doubled) visa fee applies",""),"")</f>
        <v/>
      </c>
      <c r="G276" s="113"/>
      <c r="H276" s="113"/>
      <c r="I276" s="113"/>
      <c r="J276" s="113"/>
      <c r="K276" s="91"/>
      <c r="L276" s="91"/>
      <c r="M276" s="91"/>
      <c r="N276" s="571"/>
      <c r="O276" s="572"/>
      <c r="P276" s="572"/>
      <c r="Q276" s="572"/>
      <c r="R276" s="572"/>
      <c r="S276" s="573"/>
      <c r="T276" s="91"/>
    </row>
    <row r="277" spans="1:20" x14ac:dyDescent="0.25">
      <c r="A277" s="657"/>
      <c r="B277" s="657"/>
      <c r="C277" s="657"/>
      <c r="D277" s="657"/>
      <c r="E277" s="657"/>
      <c r="F277" s="205" t="str">
        <f>IFERROR(IF($F$267&lt;&gt;"",IF(AND(OR(CHECKING!$B$6=TRUE,AND(CHECKING!$B$5=TRUE,$D$271&gt;=1)),OR(AND($F$271=0,$H$271&gt;0),AND($F$271&gt;0,$F$271&lt;6),AND($F$271=6,$H$271=0))),"NHS Surcharge for part-year up to 6 months = £" &amp; Dropdowns!$Z$8/2,""),""),"")</f>
        <v/>
      </c>
      <c r="G277" s="111"/>
      <c r="H277" s="111"/>
      <c r="I277" s="111"/>
      <c r="J277" s="113"/>
      <c r="K277" s="91"/>
      <c r="L277" s="91"/>
      <c r="M277" s="91"/>
      <c r="N277" s="571"/>
      <c r="O277" s="572"/>
      <c r="P277" s="572"/>
      <c r="Q277" s="572"/>
      <c r="R277" s="572"/>
      <c r="S277" s="573"/>
      <c r="T277" s="91"/>
    </row>
    <row r="278" spans="1:20" x14ac:dyDescent="0.25">
      <c r="A278" s="657"/>
      <c r="B278" s="657"/>
      <c r="C278" s="657"/>
      <c r="D278" s="657"/>
      <c r="E278" s="657"/>
      <c r="F278" s="205" t="str">
        <f>IFERROR(IF($F$267&lt;&gt;"",IF(OR(AND($F$271=6,$H$271&gt;0),AND($F$271&gt;6,$F$271&lt;12)),"NHS Surcharge for part-year over 6 months = £" &amp; Dropdowns!$Z$8,""),""),"")</f>
        <v/>
      </c>
      <c r="G278" s="114"/>
      <c r="H278" s="114"/>
      <c r="I278" s="114"/>
      <c r="J278" s="114"/>
      <c r="K278" s="91"/>
      <c r="L278" s="91"/>
      <c r="M278" s="91"/>
      <c r="N278" s="571"/>
      <c r="O278" s="572"/>
      <c r="P278" s="572"/>
      <c r="Q278" s="572"/>
      <c r="R278" s="572"/>
      <c r="S278" s="573"/>
      <c r="T278" s="91"/>
    </row>
    <row r="279" spans="1:20" x14ac:dyDescent="0.25">
      <c r="A279" s="657" t="s">
        <v>913</v>
      </c>
      <c r="B279" s="657"/>
      <c r="C279" s="657"/>
      <c r="D279" s="657"/>
      <c r="E279" s="657"/>
      <c r="F279" s="657"/>
      <c r="G279" s="657"/>
      <c r="H279" s="657"/>
      <c r="I279" s="657"/>
      <c r="J279" s="657"/>
      <c r="K279" s="91"/>
      <c r="L279" s="91"/>
      <c r="M279" s="91"/>
      <c r="N279" s="574"/>
      <c r="O279" s="575"/>
      <c r="P279" s="575"/>
      <c r="Q279" s="575"/>
      <c r="R279" s="575"/>
      <c r="S279" s="576"/>
      <c r="T279" s="91"/>
    </row>
    <row r="280" spans="1:20" x14ac:dyDescent="0.25">
      <c r="A280" s="657"/>
      <c r="B280" s="657"/>
      <c r="C280" s="657"/>
      <c r="D280" s="657"/>
      <c r="E280" s="657"/>
      <c r="F280" s="657"/>
      <c r="G280" s="657"/>
      <c r="H280" s="657"/>
      <c r="I280" s="657"/>
      <c r="J280" s="657"/>
      <c r="K280" s="91"/>
      <c r="L280" s="91"/>
      <c r="M280" s="91"/>
      <c r="N280" s="91"/>
      <c r="O280" s="91"/>
      <c r="P280" s="91"/>
      <c r="Q280" s="91"/>
      <c r="R280" s="91"/>
      <c r="S280" s="91"/>
      <c r="T280" s="91"/>
    </row>
    <row r="281" spans="1:20" ht="16.5" customHeight="1" x14ac:dyDescent="0.25">
      <c r="A281" s="774" t="str">
        <f>IF(OR(AND(CHECKING!$B$5=FALSE,CHECKING!$B$6=FALSE),AND(CHECKING!$B$5=TRUE,OR($I$262="- select -",$I$262="")),$F$264="",$F$267=""),"Fields above must be completed before estimated NHS Surcharge can be calculated!","")</f>
        <v>Fields above must be completed before estimated NHS Surcharge can be calculated!</v>
      </c>
      <c r="B281" s="774"/>
      <c r="C281" s="774"/>
      <c r="D281" s="774"/>
      <c r="E281" s="774"/>
      <c r="F281" s="774"/>
      <c r="G281" s="774"/>
      <c r="H281" s="774"/>
      <c r="I281" s="774"/>
      <c r="J281" s="774"/>
      <c r="K281" s="91"/>
      <c r="L281" s="91"/>
      <c r="M281" s="91"/>
      <c r="N281" s="91"/>
      <c r="O281" s="91"/>
      <c r="P281" s="91"/>
      <c r="Q281" s="91"/>
      <c r="R281" s="91"/>
      <c r="S281" s="91"/>
      <c r="T281" s="91"/>
    </row>
    <row r="282" spans="1:20" x14ac:dyDescent="0.25">
      <c r="A282" s="115"/>
      <c r="B282" s="116"/>
      <c r="C282" s="399" t="s">
        <v>1180</v>
      </c>
      <c r="D282" s="464" t="str">
        <f>IF(OR($F$264="",AND(CHECKING!$B$5=FALSE,CHECKING!$B$6=FALSE),AND(CHECKING!$B$5=TRUE,OR($I$262="- select -",$I$262=""))),"",(Dropdowns!$Z$8*$D$271)+(IF(AND(OR(CHECKING!$B$6=TRUE,AND(CHECKING!$B$5=TRUE,$D$271&gt;=1)),OR(AND($F$271=0,$H$271&gt;0),AND($F$271&gt;0,$F$271&lt;6),AND($F$271=6,$H$271=0))),(Dropdowns!$Z$8/2),IF(OR(AND($F$271=6,$H$271&gt;0),AND($F$271&gt;6,$F$271&lt;12)),Dropdowns!$Z$8,0))))</f>
        <v/>
      </c>
      <c r="E282" s="117" t="s">
        <v>903</v>
      </c>
      <c r="F282" s="45"/>
      <c r="G282" s="116"/>
      <c r="H282" s="116"/>
      <c r="I282" s="116"/>
      <c r="J282" s="116"/>
      <c r="K282" s="91"/>
      <c r="L282" s="91"/>
      <c r="M282" s="91"/>
      <c r="N282" s="91"/>
      <c r="O282" s="91"/>
      <c r="P282" s="91"/>
      <c r="Q282" s="91"/>
      <c r="R282" s="91"/>
      <c r="S282" s="91"/>
      <c r="T282" s="91"/>
    </row>
    <row r="283" spans="1:20" x14ac:dyDescent="0.25">
      <c r="A283" s="118"/>
      <c r="B283" s="118"/>
      <c r="C283" s="118"/>
      <c r="D283" s="464" t="str">
        <f>IF(OR($F$264="",AND(CHECKING!$B$5=FALSE,CHECKING!$B$6=FALSE),AND(CHECKING!$B$5=TRUE,OR($I$262="- select -",$I$262=""))),"",(Dropdowns!$Z$9*$D$271)+(IF(AND(OR(CHECKING!$B$6=TRUE,AND(CHECKING!$B$5=TRUE,$D$271&gt;=1)),OR(AND($F$271=0,$H$271&gt;0),AND($F$271&gt;0,$F$271&lt;6),AND($F$271=6,$H$271=0))),(Dropdowns!$Z$9/2),IF(OR(AND($F$271=6,$H$271&gt;0),AND($F$271&gt;6,$F$271&lt;12)),Dropdowns!$Z$9,0))))</f>
        <v/>
      </c>
      <c r="E283" s="117" t="s">
        <v>904</v>
      </c>
      <c r="F283" s="118"/>
      <c r="G283" s="118"/>
      <c r="H283" s="118"/>
      <c r="I283" s="118"/>
      <c r="J283" s="118"/>
      <c r="K283" s="91"/>
      <c r="L283" s="91"/>
      <c r="M283" s="91"/>
      <c r="N283" s="119"/>
      <c r="O283" s="119"/>
      <c r="P283" s="119"/>
      <c r="Q283" s="119"/>
      <c r="R283" s="119"/>
      <c r="S283" s="119"/>
      <c r="T283" s="91"/>
    </row>
    <row r="284" spans="1:20" ht="19.5" customHeight="1" x14ac:dyDescent="0.25">
      <c r="A284" s="835" t="str">
        <f>"I confirm that this applicant has been made aware of the ‘NHS Surcharge’.  As this is a significant (£" &amp; Dropdowns!$Z$8 &amp; " per year for the main applicant and their partner and £" &amp; Dropdowns!$Z$9 &amp; " per year for each child (under 18)) addition to the visa fee, based on visa length, it may affect the length of visa they wish to apply for. " &amp; "Departments and Facultys should reimburse the main applicant's visa and NHS fees if they are a new employee or are taking up a new role, but dependants fees are not covered."</f>
        <v>I confirm that this applicant has been made aware of the ‘NHS Surcharge’.  As this is a significant (£1035 per year for the main applicant and their partner and £776 per year for each child (under 18)) addition to the visa fee, based on visa length, it may affect the length of visa they wish to apply for. Departments and Facultys should reimburse the main applicant's visa and NHS fees if they are a new employee or are taking up a new role, but dependants fees are not covered.</v>
      </c>
      <c r="B284" s="835"/>
      <c r="C284" s="835"/>
      <c r="D284" s="835"/>
      <c r="E284" s="835"/>
      <c r="F284" s="835"/>
      <c r="G284" s="835"/>
      <c r="H284" s="835"/>
      <c r="I284" s="835"/>
      <c r="J284" s="120"/>
      <c r="K284" s="91"/>
      <c r="L284" s="91"/>
      <c r="M284" s="91"/>
      <c r="N284" s="568"/>
      <c r="O284" s="569"/>
      <c r="P284" s="569"/>
      <c r="Q284" s="569"/>
      <c r="R284" s="569"/>
      <c r="S284" s="570"/>
      <c r="T284" s="91"/>
    </row>
    <row r="285" spans="1:20" ht="18" customHeight="1" x14ac:dyDescent="0.25">
      <c r="A285" s="835"/>
      <c r="B285" s="835"/>
      <c r="C285" s="835"/>
      <c r="D285" s="835"/>
      <c r="E285" s="835"/>
      <c r="F285" s="835"/>
      <c r="G285" s="835"/>
      <c r="H285" s="835"/>
      <c r="I285" s="835"/>
      <c r="J285" s="497">
        <f>IF(CHECKING!$D$96=TRUE,10,0)</f>
        <v>0</v>
      </c>
      <c r="K285" s="91"/>
      <c r="L285" s="91"/>
      <c r="M285" s="91"/>
      <c r="N285" s="574"/>
      <c r="O285" s="575"/>
      <c r="P285" s="575"/>
      <c r="Q285" s="575"/>
      <c r="R285" s="575"/>
      <c r="S285" s="576"/>
      <c r="T285" s="91"/>
    </row>
    <row r="286" spans="1:20" x14ac:dyDescent="0.25">
      <c r="A286" s="835"/>
      <c r="B286" s="835"/>
      <c r="C286" s="835"/>
      <c r="D286" s="835"/>
      <c r="E286" s="835"/>
      <c r="F286" s="835"/>
      <c r="G286" s="835"/>
      <c r="H286" s="835"/>
      <c r="I286" s="835"/>
      <c r="J286" s="497"/>
      <c r="K286" s="91"/>
      <c r="L286" s="91"/>
      <c r="M286" s="91"/>
      <c r="N286" s="91"/>
      <c r="O286" s="91"/>
      <c r="P286" s="91"/>
      <c r="Q286" s="91"/>
      <c r="R286" s="91"/>
      <c r="S286" s="91"/>
      <c r="T286" s="91"/>
    </row>
    <row r="287" spans="1:20" ht="20.25" customHeight="1" x14ac:dyDescent="0.25">
      <c r="A287" s="836"/>
      <c r="B287" s="836"/>
      <c r="C287" s="836"/>
      <c r="D287" s="836"/>
      <c r="E287" s="836"/>
      <c r="F287" s="836"/>
      <c r="G287" s="836"/>
      <c r="H287" s="836"/>
      <c r="I287" s="836"/>
      <c r="J287" s="459"/>
      <c r="K287" s="91"/>
      <c r="L287" s="91"/>
      <c r="M287" s="91"/>
      <c r="N287" s="91"/>
      <c r="O287" s="91"/>
      <c r="P287" s="91"/>
      <c r="Q287" s="91"/>
      <c r="R287" s="91"/>
      <c r="S287" s="91"/>
      <c r="T287" s="91"/>
    </row>
    <row r="288" spans="1:20" ht="12" customHeight="1" thickBot="1" x14ac:dyDescent="0.3">
      <c r="A288" s="455"/>
      <c r="B288" s="456"/>
      <c r="C288" s="456"/>
      <c r="D288" s="456"/>
      <c r="E288" s="456"/>
      <c r="F288" s="456"/>
      <c r="G288" s="456"/>
      <c r="H288" s="456"/>
      <c r="I288" s="456"/>
      <c r="J288" s="45"/>
      <c r="K288" s="91"/>
      <c r="L288" s="91"/>
      <c r="M288" s="91"/>
      <c r="N288" s="91"/>
      <c r="O288" s="91"/>
      <c r="P288" s="91"/>
      <c r="Q288" s="91"/>
      <c r="R288" s="91"/>
      <c r="S288" s="91"/>
      <c r="T288" s="91"/>
    </row>
    <row r="289" spans="1:20" ht="11.45" customHeight="1" x14ac:dyDescent="0.25">
      <c r="A289" s="503" t="s">
        <v>783</v>
      </c>
      <c r="B289" s="503"/>
      <c r="C289" s="503"/>
      <c r="D289" s="503"/>
      <c r="E289" s="503"/>
      <c r="F289" s="503"/>
      <c r="G289" s="503"/>
      <c r="H289" s="503"/>
      <c r="I289" s="503"/>
      <c r="J289" s="840" t="s">
        <v>384</v>
      </c>
      <c r="K289" s="91"/>
      <c r="L289" s="91"/>
      <c r="M289" s="91"/>
      <c r="N289" s="568"/>
      <c r="O289" s="569"/>
      <c r="P289" s="569"/>
      <c r="Q289" s="569"/>
      <c r="R289" s="569"/>
      <c r="S289" s="570"/>
      <c r="T289" s="91"/>
    </row>
    <row r="290" spans="1:20" ht="15" customHeight="1" x14ac:dyDescent="0.25">
      <c r="A290" s="593" t="s">
        <v>1169</v>
      </c>
      <c r="B290" s="593"/>
      <c r="C290" s="593"/>
      <c r="D290" s="593"/>
      <c r="E290" s="593"/>
      <c r="F290" s="593"/>
      <c r="G290" s="593"/>
      <c r="H290" s="593"/>
      <c r="I290" s="839"/>
      <c r="J290" s="841"/>
      <c r="K290" s="91"/>
      <c r="L290" s="91"/>
      <c r="M290" s="91"/>
      <c r="N290" s="571"/>
      <c r="O290" s="572"/>
      <c r="P290" s="572"/>
      <c r="Q290" s="572"/>
      <c r="R290" s="572"/>
      <c r="S290" s="573"/>
      <c r="T290" s="91"/>
    </row>
    <row r="291" spans="1:20" ht="15.75" thickBot="1" x14ac:dyDescent="0.3">
      <c r="A291" s="593"/>
      <c r="B291" s="593"/>
      <c r="C291" s="593"/>
      <c r="D291" s="593"/>
      <c r="E291" s="593"/>
      <c r="F291" s="593"/>
      <c r="G291" s="593"/>
      <c r="H291" s="593"/>
      <c r="I291" s="839"/>
      <c r="J291" s="842"/>
      <c r="K291" s="91"/>
      <c r="L291" s="91"/>
      <c r="M291" s="91"/>
      <c r="N291" s="574"/>
      <c r="O291" s="575"/>
      <c r="P291" s="575"/>
      <c r="Q291" s="575"/>
      <c r="R291" s="575"/>
      <c r="S291" s="576"/>
      <c r="T291" s="91"/>
    </row>
    <row r="292" spans="1:20" ht="10.5" customHeight="1" thickBot="1" x14ac:dyDescent="0.3">
      <c r="A292" s="45"/>
      <c r="B292" s="45"/>
      <c r="C292" s="45"/>
      <c r="D292" s="45"/>
      <c r="E292" s="45"/>
      <c r="F292" s="45"/>
      <c r="G292" s="45"/>
      <c r="H292" s="45"/>
      <c r="I292" s="45"/>
      <c r="J292" s="45"/>
      <c r="K292" s="276"/>
      <c r="L292" s="276"/>
      <c r="M292" s="276"/>
      <c r="N292" s="276"/>
      <c r="O292" s="276"/>
      <c r="P292" s="276"/>
      <c r="Q292" s="276"/>
      <c r="R292" s="276"/>
      <c r="S292" s="276"/>
      <c r="T292" s="276"/>
    </row>
    <row r="293" spans="1:20" ht="15.75" thickBot="1" x14ac:dyDescent="0.3">
      <c r="A293" s="103" t="s">
        <v>784</v>
      </c>
      <c r="B293" s="45"/>
      <c r="C293" s="45"/>
      <c r="D293" s="128"/>
      <c r="E293" s="129" t="str">
        <f>IF($D$293&lt;&gt;"",IF($D$293&lt;&gt;37.5,"standard University full-time hours are 37.5 per week",""),"")</f>
        <v/>
      </c>
      <c r="F293" s="45"/>
      <c r="G293" s="45"/>
      <c r="H293" s="45"/>
      <c r="I293" s="45"/>
      <c r="J293" s="45"/>
      <c r="K293" s="91"/>
      <c r="L293" s="91"/>
      <c r="M293" s="91"/>
      <c r="N293" s="715"/>
      <c r="O293" s="716"/>
      <c r="P293" s="716"/>
      <c r="Q293" s="716"/>
      <c r="R293" s="716"/>
      <c r="S293" s="717"/>
      <c r="T293" s="41"/>
    </row>
    <row r="294" spans="1:20" ht="15.75" thickBot="1" x14ac:dyDescent="0.3">
      <c r="A294" s="45"/>
      <c r="B294" s="45"/>
      <c r="C294" s="45"/>
      <c r="D294" s="45"/>
      <c r="E294" s="45"/>
      <c r="F294" s="45"/>
      <c r="G294" s="45"/>
      <c r="H294" s="45"/>
      <c r="I294" s="45"/>
      <c r="J294" s="45"/>
      <c r="K294" s="91"/>
      <c r="L294" s="91"/>
      <c r="M294" s="91"/>
      <c r="N294" s="70"/>
      <c r="O294" s="70"/>
      <c r="P294" s="70"/>
      <c r="Q294" s="70"/>
      <c r="R294" s="70"/>
      <c r="S294" s="70"/>
      <c r="T294" s="41"/>
    </row>
    <row r="295" spans="1:20" x14ac:dyDescent="0.25">
      <c r="A295" s="72" t="s">
        <v>786</v>
      </c>
      <c r="B295" s="45"/>
      <c r="C295" s="45"/>
      <c r="D295" s="45"/>
      <c r="E295" s="712" t="s">
        <v>787</v>
      </c>
      <c r="F295" s="713"/>
      <c r="G295" s="713"/>
      <c r="H295" s="713"/>
      <c r="I295" s="713"/>
      <c r="J295" s="714"/>
      <c r="K295" s="91"/>
      <c r="L295" s="91"/>
      <c r="M295" s="91"/>
      <c r="N295" s="568"/>
      <c r="O295" s="569"/>
      <c r="P295" s="569"/>
      <c r="Q295" s="569"/>
      <c r="R295" s="569"/>
      <c r="S295" s="570"/>
      <c r="T295" s="91"/>
    </row>
    <row r="296" spans="1:20" x14ac:dyDescent="0.25">
      <c r="A296" s="88"/>
      <c r="B296" s="88"/>
      <c r="C296" s="88"/>
      <c r="D296" s="89"/>
      <c r="E296" s="705"/>
      <c r="F296" s="706"/>
      <c r="G296" s="706"/>
      <c r="H296" s="706"/>
      <c r="I296" s="706"/>
      <c r="J296" s="707"/>
      <c r="K296" s="91"/>
      <c r="L296" s="91"/>
      <c r="M296" s="91"/>
      <c r="N296" s="571"/>
      <c r="O296" s="572"/>
      <c r="P296" s="572"/>
      <c r="Q296" s="572"/>
      <c r="R296" s="572"/>
      <c r="S296" s="573"/>
      <c r="T296" s="91"/>
    </row>
    <row r="297" spans="1:20" x14ac:dyDescent="0.25">
      <c r="A297" s="88"/>
      <c r="B297" s="88"/>
      <c r="C297" s="88"/>
      <c r="D297" s="89"/>
      <c r="E297" s="705"/>
      <c r="F297" s="706"/>
      <c r="G297" s="706"/>
      <c r="H297" s="706"/>
      <c r="I297" s="706"/>
      <c r="J297" s="707"/>
      <c r="K297" s="91"/>
      <c r="L297" s="91"/>
      <c r="M297" s="91"/>
      <c r="N297" s="571"/>
      <c r="O297" s="572"/>
      <c r="P297" s="572"/>
      <c r="Q297" s="572"/>
      <c r="R297" s="572"/>
      <c r="S297" s="573"/>
      <c r="T297" s="91"/>
    </row>
    <row r="298" spans="1:20" x14ac:dyDescent="0.25">
      <c r="A298" s="88" t="s">
        <v>756</v>
      </c>
      <c r="B298" s="88"/>
      <c r="C298" s="88"/>
      <c r="D298" s="45"/>
      <c r="E298" s="708"/>
      <c r="F298" s="709"/>
      <c r="G298" s="709"/>
      <c r="H298" s="709"/>
      <c r="I298" s="709"/>
      <c r="J298" s="710"/>
      <c r="K298" s="91"/>
      <c r="L298" s="91"/>
      <c r="M298" s="91"/>
      <c r="N298" s="571"/>
      <c r="O298" s="572"/>
      <c r="P298" s="572"/>
      <c r="Q298" s="572"/>
      <c r="R298" s="572"/>
      <c r="S298" s="573"/>
      <c r="T298" s="91"/>
    </row>
    <row r="299" spans="1:20" x14ac:dyDescent="0.25">
      <c r="A299" s="72" t="s">
        <v>788</v>
      </c>
      <c r="B299" s="45"/>
      <c r="C299" s="45"/>
      <c r="D299" s="45"/>
      <c r="E299" s="705"/>
      <c r="F299" s="706"/>
      <c r="G299" s="706"/>
      <c r="H299" s="706"/>
      <c r="I299" s="706"/>
      <c r="J299" s="707"/>
      <c r="K299" s="91"/>
      <c r="L299" s="91"/>
      <c r="M299" s="91"/>
      <c r="N299" s="571"/>
      <c r="O299" s="572"/>
      <c r="P299" s="572"/>
      <c r="Q299" s="572"/>
      <c r="R299" s="572"/>
      <c r="S299" s="573"/>
      <c r="T299" s="91"/>
    </row>
    <row r="300" spans="1:20" ht="15.75" thickBot="1" x14ac:dyDescent="0.3">
      <c r="A300" s="72" t="s">
        <v>758</v>
      </c>
      <c r="B300" s="45"/>
      <c r="C300" s="45"/>
      <c r="D300" s="45"/>
      <c r="E300" s="718"/>
      <c r="F300" s="719"/>
      <c r="G300" s="719"/>
      <c r="H300" s="719"/>
      <c r="I300" s="719"/>
      <c r="J300" s="720"/>
      <c r="K300" s="91"/>
      <c r="L300" s="91"/>
      <c r="M300" s="91"/>
      <c r="N300" s="574"/>
      <c r="O300" s="575"/>
      <c r="P300" s="575"/>
      <c r="Q300" s="575"/>
      <c r="R300" s="575"/>
      <c r="S300" s="576"/>
      <c r="T300" s="91"/>
    </row>
    <row r="301" spans="1:20" ht="15.75" thickBot="1" x14ac:dyDescent="0.3">
      <c r="A301" s="45"/>
      <c r="B301" s="45"/>
      <c r="C301" s="45"/>
      <c r="D301" s="45"/>
      <c r="E301" s="45"/>
      <c r="F301" s="45"/>
      <c r="G301" s="45"/>
      <c r="H301" s="45"/>
      <c r="I301" s="45"/>
      <c r="J301" s="45"/>
      <c r="K301" s="91"/>
      <c r="L301" s="91"/>
      <c r="M301" s="91"/>
      <c r="N301" s="91"/>
      <c r="O301" s="91"/>
      <c r="P301" s="91"/>
      <c r="Q301" s="91"/>
      <c r="R301" s="91"/>
      <c r="S301" s="91"/>
      <c r="T301" s="91"/>
    </row>
    <row r="302" spans="1:20" x14ac:dyDescent="0.25">
      <c r="A302" s="72" t="s">
        <v>789</v>
      </c>
      <c r="B302" s="45"/>
      <c r="C302" s="45"/>
      <c r="D302" s="45"/>
      <c r="E302" s="712" t="s">
        <v>787</v>
      </c>
      <c r="F302" s="713"/>
      <c r="G302" s="713"/>
      <c r="H302" s="713"/>
      <c r="I302" s="713"/>
      <c r="J302" s="714"/>
      <c r="K302" s="91"/>
      <c r="L302" s="91"/>
      <c r="M302" s="91"/>
      <c r="N302" s="568"/>
      <c r="O302" s="569"/>
      <c r="P302" s="569"/>
      <c r="Q302" s="569"/>
      <c r="R302" s="569"/>
      <c r="S302" s="570"/>
      <c r="T302" s="91"/>
    </row>
    <row r="303" spans="1:20" x14ac:dyDescent="0.25">
      <c r="A303" s="88"/>
      <c r="B303" s="88"/>
      <c r="C303" s="45"/>
      <c r="D303" s="45"/>
      <c r="E303" s="705"/>
      <c r="F303" s="706"/>
      <c r="G303" s="706"/>
      <c r="H303" s="706"/>
      <c r="I303" s="706"/>
      <c r="J303" s="707"/>
      <c r="K303" s="91"/>
      <c r="L303" s="91"/>
      <c r="M303" s="91"/>
      <c r="N303" s="571"/>
      <c r="O303" s="572"/>
      <c r="P303" s="572"/>
      <c r="Q303" s="572"/>
      <c r="R303" s="572"/>
      <c r="S303" s="573"/>
      <c r="T303" s="91"/>
    </row>
    <row r="304" spans="1:20" x14ac:dyDescent="0.25">
      <c r="A304" s="88"/>
      <c r="B304" s="88"/>
      <c r="C304" s="45"/>
      <c r="D304" s="45"/>
      <c r="E304" s="705"/>
      <c r="F304" s="706"/>
      <c r="G304" s="706"/>
      <c r="H304" s="706"/>
      <c r="I304" s="706"/>
      <c r="J304" s="707"/>
      <c r="K304" s="91"/>
      <c r="L304" s="91"/>
      <c r="M304" s="91"/>
      <c r="N304" s="571"/>
      <c r="O304" s="572"/>
      <c r="P304" s="572"/>
      <c r="Q304" s="572"/>
      <c r="R304" s="572"/>
      <c r="S304" s="573"/>
      <c r="T304" s="91"/>
    </row>
    <row r="305" spans="1:20" x14ac:dyDescent="0.25">
      <c r="A305" s="88" t="s">
        <v>756</v>
      </c>
      <c r="B305" s="88"/>
      <c r="C305" s="45"/>
      <c r="D305" s="45"/>
      <c r="E305" s="708"/>
      <c r="F305" s="709"/>
      <c r="G305" s="709"/>
      <c r="H305" s="709"/>
      <c r="I305" s="709"/>
      <c r="J305" s="710"/>
      <c r="K305" s="91"/>
      <c r="L305" s="91"/>
      <c r="M305" s="91"/>
      <c r="N305" s="571"/>
      <c r="O305" s="572"/>
      <c r="P305" s="572"/>
      <c r="Q305" s="572"/>
      <c r="R305" s="572"/>
      <c r="S305" s="573"/>
      <c r="T305" s="91"/>
    </row>
    <row r="306" spans="1:20" x14ac:dyDescent="0.25">
      <c r="A306" s="72" t="s">
        <v>788</v>
      </c>
      <c r="B306" s="45"/>
      <c r="C306" s="45"/>
      <c r="D306" s="45"/>
      <c r="E306" s="705"/>
      <c r="F306" s="706"/>
      <c r="G306" s="706"/>
      <c r="H306" s="706"/>
      <c r="I306" s="706"/>
      <c r="J306" s="707"/>
      <c r="K306" s="91"/>
      <c r="L306" s="91"/>
      <c r="M306" s="91"/>
      <c r="N306" s="571"/>
      <c r="O306" s="572"/>
      <c r="P306" s="572"/>
      <c r="Q306" s="572"/>
      <c r="R306" s="572"/>
      <c r="S306" s="573"/>
      <c r="T306" s="91"/>
    </row>
    <row r="307" spans="1:20" ht="15.75" thickBot="1" x14ac:dyDescent="0.3">
      <c r="A307" s="72" t="s">
        <v>758</v>
      </c>
      <c r="B307" s="45"/>
      <c r="C307" s="45"/>
      <c r="D307" s="45"/>
      <c r="E307" s="718"/>
      <c r="F307" s="719"/>
      <c r="G307" s="719"/>
      <c r="H307" s="719"/>
      <c r="I307" s="719"/>
      <c r="J307" s="720"/>
      <c r="K307" s="91"/>
      <c r="L307" s="91"/>
      <c r="M307" s="91"/>
      <c r="N307" s="574"/>
      <c r="O307" s="575"/>
      <c r="P307" s="575"/>
      <c r="Q307" s="575"/>
      <c r="R307" s="575"/>
      <c r="S307" s="576"/>
      <c r="T307" s="91"/>
    </row>
    <row r="308" spans="1:20" x14ac:dyDescent="0.25">
      <c r="A308" s="45"/>
      <c r="B308" s="45"/>
      <c r="C308" s="45"/>
      <c r="D308" s="45"/>
      <c r="E308" s="45"/>
      <c r="F308" s="45"/>
      <c r="G308" s="45"/>
      <c r="H308" s="45"/>
      <c r="I308" s="45"/>
      <c r="J308" s="45"/>
      <c r="K308" s="91"/>
      <c r="L308" s="91"/>
      <c r="M308" s="91"/>
      <c r="N308" s="91"/>
      <c r="O308" s="91"/>
      <c r="P308" s="91"/>
      <c r="Q308" s="91"/>
      <c r="R308" s="91"/>
      <c r="S308" s="91"/>
      <c r="T308" s="91"/>
    </row>
    <row r="309" spans="1:20" s="269" customFormat="1" ht="15.75" thickBot="1" x14ac:dyDescent="0.3">
      <c r="A309" s="45"/>
      <c r="B309" s="45"/>
      <c r="C309" s="45"/>
      <c r="D309" s="45"/>
      <c r="E309" s="45"/>
      <c r="F309" s="45"/>
      <c r="G309" s="45"/>
      <c r="H309" s="45"/>
      <c r="I309" s="45"/>
      <c r="J309" s="45"/>
      <c r="K309" s="276"/>
      <c r="L309" s="276"/>
      <c r="M309" s="276"/>
      <c r="N309" s="276"/>
      <c r="O309" s="276"/>
      <c r="P309" s="276"/>
      <c r="Q309" s="276"/>
      <c r="R309" s="276"/>
      <c r="S309" s="276"/>
      <c r="T309" s="276"/>
    </row>
    <row r="310" spans="1:20" x14ac:dyDescent="0.25">
      <c r="A310" s="72" t="s">
        <v>790</v>
      </c>
      <c r="B310" s="45"/>
      <c r="C310" s="45"/>
      <c r="D310" s="45"/>
      <c r="E310" s="712" t="s">
        <v>787</v>
      </c>
      <c r="F310" s="713"/>
      <c r="G310" s="713"/>
      <c r="H310" s="713"/>
      <c r="I310" s="713"/>
      <c r="J310" s="714"/>
      <c r="K310" s="91"/>
      <c r="L310" s="91"/>
      <c r="M310" s="91"/>
      <c r="N310" s="568"/>
      <c r="O310" s="569"/>
      <c r="P310" s="569"/>
      <c r="Q310" s="569"/>
      <c r="R310" s="569"/>
      <c r="S310" s="570"/>
      <c r="T310" s="91"/>
    </row>
    <row r="311" spans="1:20" x14ac:dyDescent="0.25">
      <c r="A311" s="88"/>
      <c r="B311" s="88"/>
      <c r="C311" s="45"/>
      <c r="D311" s="45"/>
      <c r="E311" s="705"/>
      <c r="F311" s="706"/>
      <c r="G311" s="706"/>
      <c r="H311" s="706"/>
      <c r="I311" s="706"/>
      <c r="J311" s="707"/>
      <c r="K311" s="91"/>
      <c r="L311" s="91"/>
      <c r="M311" s="91"/>
      <c r="N311" s="571"/>
      <c r="O311" s="572"/>
      <c r="P311" s="572"/>
      <c r="Q311" s="572"/>
      <c r="R311" s="572"/>
      <c r="S311" s="573"/>
      <c r="T311" s="91"/>
    </row>
    <row r="312" spans="1:20" x14ac:dyDescent="0.25">
      <c r="A312" s="88"/>
      <c r="B312" s="88"/>
      <c r="C312" s="45"/>
      <c r="D312" s="45"/>
      <c r="E312" s="705"/>
      <c r="F312" s="706"/>
      <c r="G312" s="706"/>
      <c r="H312" s="706"/>
      <c r="I312" s="706"/>
      <c r="J312" s="707"/>
      <c r="K312" s="91"/>
      <c r="L312" s="91"/>
      <c r="M312" s="91"/>
      <c r="N312" s="571"/>
      <c r="O312" s="572"/>
      <c r="P312" s="572"/>
      <c r="Q312" s="572"/>
      <c r="R312" s="572"/>
      <c r="S312" s="573"/>
      <c r="T312" s="91"/>
    </row>
    <row r="313" spans="1:20" x14ac:dyDescent="0.25">
      <c r="A313" s="88" t="s">
        <v>756</v>
      </c>
      <c r="B313" s="88"/>
      <c r="C313" s="45"/>
      <c r="D313" s="45"/>
      <c r="E313" s="708"/>
      <c r="F313" s="709"/>
      <c r="G313" s="709"/>
      <c r="H313" s="709"/>
      <c r="I313" s="709"/>
      <c r="J313" s="710"/>
      <c r="K313" s="91"/>
      <c r="L313" s="91"/>
      <c r="M313" s="91"/>
      <c r="N313" s="571"/>
      <c r="O313" s="572"/>
      <c r="P313" s="572"/>
      <c r="Q313" s="572"/>
      <c r="R313" s="572"/>
      <c r="S313" s="573"/>
      <c r="T313" s="91"/>
    </row>
    <row r="314" spans="1:20" x14ac:dyDescent="0.25">
      <c r="A314" s="72" t="s">
        <v>788</v>
      </c>
      <c r="B314" s="45"/>
      <c r="C314" s="45"/>
      <c r="D314" s="45"/>
      <c r="E314" s="705"/>
      <c r="F314" s="706"/>
      <c r="G314" s="706"/>
      <c r="H314" s="706"/>
      <c r="I314" s="706"/>
      <c r="J314" s="707"/>
      <c r="K314" s="91"/>
      <c r="L314" s="91"/>
      <c r="M314" s="91"/>
      <c r="N314" s="571"/>
      <c r="O314" s="572"/>
      <c r="P314" s="572"/>
      <c r="Q314" s="572"/>
      <c r="R314" s="572"/>
      <c r="S314" s="573"/>
      <c r="T314" s="91"/>
    </row>
    <row r="315" spans="1:20" ht="15.75" thickBot="1" x14ac:dyDescent="0.3">
      <c r="A315" s="72" t="s">
        <v>758</v>
      </c>
      <c r="B315" s="45"/>
      <c r="C315" s="45"/>
      <c r="D315" s="45"/>
      <c r="E315" s="718"/>
      <c r="F315" s="719"/>
      <c r="G315" s="719"/>
      <c r="H315" s="719"/>
      <c r="I315" s="719"/>
      <c r="J315" s="720"/>
      <c r="K315" s="91"/>
      <c r="L315" s="91"/>
      <c r="M315" s="91"/>
      <c r="N315" s="574"/>
      <c r="O315" s="575"/>
      <c r="P315" s="575"/>
      <c r="Q315" s="575"/>
      <c r="R315" s="575"/>
      <c r="S315" s="576"/>
      <c r="T315" s="91"/>
    </row>
    <row r="316" spans="1:20" x14ac:dyDescent="0.25">
      <c r="A316" s="45"/>
      <c r="B316" s="45"/>
      <c r="C316" s="45"/>
      <c r="D316" s="45"/>
      <c r="E316" s="45"/>
      <c r="F316" s="45"/>
      <c r="G316" s="45"/>
      <c r="H316" s="45"/>
      <c r="I316" s="45"/>
      <c r="J316" s="45"/>
      <c r="K316" s="91"/>
      <c r="L316" s="91"/>
      <c r="M316" s="91"/>
      <c r="N316" s="91"/>
      <c r="O316" s="91"/>
      <c r="P316" s="91"/>
      <c r="Q316" s="91"/>
      <c r="R316" s="91"/>
      <c r="S316" s="91"/>
      <c r="T316" s="91"/>
    </row>
    <row r="317" spans="1:20" ht="15.75" thickBot="1" x14ac:dyDescent="0.3">
      <c r="A317" s="72" t="s">
        <v>791</v>
      </c>
      <c r="B317" s="45"/>
      <c r="C317" s="45"/>
      <c r="D317" s="45"/>
      <c r="E317" s="45"/>
      <c r="F317" s="45"/>
      <c r="G317" s="45"/>
      <c r="H317" s="45"/>
      <c r="I317" s="45"/>
      <c r="J317" s="45"/>
      <c r="K317" s="91"/>
      <c r="L317" s="91"/>
      <c r="M317" s="91"/>
      <c r="N317" s="91"/>
      <c r="O317" s="91"/>
      <c r="P317" s="91"/>
      <c r="Q317" s="91"/>
      <c r="R317" s="91"/>
      <c r="S317" s="91"/>
      <c r="T317" s="91"/>
    </row>
    <row r="318" spans="1:20" x14ac:dyDescent="0.25">
      <c r="A318" s="578"/>
      <c r="B318" s="579"/>
      <c r="C318" s="579"/>
      <c r="D318" s="579"/>
      <c r="E318" s="579"/>
      <c r="F318" s="579"/>
      <c r="G318" s="579"/>
      <c r="H318" s="579"/>
      <c r="I318" s="579"/>
      <c r="J318" s="580"/>
      <c r="K318" s="91"/>
      <c r="L318" s="91"/>
      <c r="M318" s="91"/>
      <c r="N318" s="568"/>
      <c r="O318" s="569"/>
      <c r="P318" s="569"/>
      <c r="Q318" s="569"/>
      <c r="R318" s="569"/>
      <c r="S318" s="570"/>
      <c r="T318" s="91"/>
    </row>
    <row r="319" spans="1:20" s="269" customFormat="1" x14ac:dyDescent="0.25">
      <c r="A319" s="581"/>
      <c r="B319" s="582"/>
      <c r="C319" s="582"/>
      <c r="D319" s="582"/>
      <c r="E319" s="582"/>
      <c r="F319" s="582"/>
      <c r="G319" s="582"/>
      <c r="H319" s="582"/>
      <c r="I319" s="582"/>
      <c r="J319" s="583"/>
      <c r="K319" s="276"/>
      <c r="L319" s="276"/>
      <c r="M319" s="276"/>
      <c r="N319" s="571"/>
      <c r="O319" s="572"/>
      <c r="P319" s="572"/>
      <c r="Q319" s="572"/>
      <c r="R319" s="572"/>
      <c r="S319" s="573"/>
      <c r="T319" s="276"/>
    </row>
    <row r="320" spans="1:20" x14ac:dyDescent="0.25">
      <c r="A320" s="581"/>
      <c r="B320" s="582"/>
      <c r="C320" s="582"/>
      <c r="D320" s="582"/>
      <c r="E320" s="582"/>
      <c r="F320" s="582"/>
      <c r="G320" s="582"/>
      <c r="H320" s="582"/>
      <c r="I320" s="582"/>
      <c r="J320" s="583"/>
      <c r="K320" s="91"/>
      <c r="L320" s="91"/>
      <c r="M320" s="91"/>
      <c r="N320" s="571"/>
      <c r="O320" s="572"/>
      <c r="P320" s="572"/>
      <c r="Q320" s="572"/>
      <c r="R320" s="572"/>
      <c r="S320" s="573"/>
      <c r="T320" s="91"/>
    </row>
    <row r="321" spans="1:20" s="269" customFormat="1" x14ac:dyDescent="0.25">
      <c r="A321" s="581"/>
      <c r="B321" s="582"/>
      <c r="C321" s="582"/>
      <c r="D321" s="582"/>
      <c r="E321" s="582"/>
      <c r="F321" s="582"/>
      <c r="G321" s="582"/>
      <c r="H321" s="582"/>
      <c r="I321" s="582"/>
      <c r="J321" s="583"/>
      <c r="K321" s="276"/>
      <c r="L321" s="276"/>
      <c r="M321" s="276"/>
      <c r="N321" s="571"/>
      <c r="O321" s="572"/>
      <c r="P321" s="572"/>
      <c r="Q321" s="572"/>
      <c r="R321" s="572"/>
      <c r="S321" s="573"/>
      <c r="T321" s="276"/>
    </row>
    <row r="322" spans="1:20" x14ac:dyDescent="0.25">
      <c r="A322" s="581"/>
      <c r="B322" s="582"/>
      <c r="C322" s="582"/>
      <c r="D322" s="582"/>
      <c r="E322" s="582"/>
      <c r="F322" s="582"/>
      <c r="G322" s="582"/>
      <c r="H322" s="582"/>
      <c r="I322" s="582"/>
      <c r="J322" s="583"/>
      <c r="K322" s="91"/>
      <c r="L322" s="91"/>
      <c r="M322" s="91"/>
      <c r="N322" s="571"/>
      <c r="O322" s="572"/>
      <c r="P322" s="572"/>
      <c r="Q322" s="572"/>
      <c r="R322" s="572"/>
      <c r="S322" s="573"/>
      <c r="T322" s="91"/>
    </row>
    <row r="323" spans="1:20" x14ac:dyDescent="0.25">
      <c r="A323" s="581"/>
      <c r="B323" s="582"/>
      <c r="C323" s="582"/>
      <c r="D323" s="582"/>
      <c r="E323" s="582"/>
      <c r="F323" s="582"/>
      <c r="G323" s="582"/>
      <c r="H323" s="582"/>
      <c r="I323" s="582"/>
      <c r="J323" s="583"/>
      <c r="K323" s="91"/>
      <c r="L323" s="91"/>
      <c r="M323" s="91"/>
      <c r="N323" s="571"/>
      <c r="O323" s="572"/>
      <c r="P323" s="572"/>
      <c r="Q323" s="572"/>
      <c r="R323" s="572"/>
      <c r="S323" s="573"/>
      <c r="T323" s="91"/>
    </row>
    <row r="324" spans="1:20" ht="15.75" thickBot="1" x14ac:dyDescent="0.3">
      <c r="A324" s="584"/>
      <c r="B324" s="585"/>
      <c r="C324" s="585"/>
      <c r="D324" s="585"/>
      <c r="E324" s="585"/>
      <c r="F324" s="585"/>
      <c r="G324" s="585"/>
      <c r="H324" s="585"/>
      <c r="I324" s="585"/>
      <c r="J324" s="586"/>
      <c r="K324" s="91"/>
      <c r="L324" s="91"/>
      <c r="M324" s="91"/>
      <c r="N324" s="574"/>
      <c r="O324" s="575"/>
      <c r="P324" s="575"/>
      <c r="Q324" s="575"/>
      <c r="R324" s="575"/>
      <c r="S324" s="576"/>
      <c r="T324" s="91"/>
    </row>
    <row r="325" spans="1:20" ht="15.75" thickBot="1" x14ac:dyDescent="0.3">
      <c r="A325" s="45"/>
      <c r="B325" s="45"/>
      <c r="C325" s="45"/>
      <c r="D325" s="45"/>
      <c r="E325" s="45"/>
      <c r="F325" s="45"/>
      <c r="G325" s="45"/>
      <c r="H325" s="45"/>
      <c r="I325" s="45"/>
      <c r="J325" s="45"/>
      <c r="K325" s="91"/>
      <c r="L325" s="91"/>
      <c r="M325" s="91"/>
      <c r="N325" s="91"/>
      <c r="O325" s="91"/>
      <c r="P325" s="91"/>
      <c r="Q325" s="91"/>
      <c r="R325" s="91"/>
      <c r="S325" s="91"/>
      <c r="T325" s="91"/>
    </row>
    <row r="326" spans="1:20" ht="15.75" thickBot="1" x14ac:dyDescent="0.3">
      <c r="A326" s="103" t="s">
        <v>796</v>
      </c>
      <c r="B326" s="587"/>
      <c r="C326" s="588"/>
      <c r="D326" s="588"/>
      <c r="E326" s="588"/>
      <c r="F326" s="588"/>
      <c r="G326" s="588"/>
      <c r="H326" s="588"/>
      <c r="I326" s="588"/>
      <c r="J326" s="589"/>
      <c r="K326" s="91"/>
      <c r="L326" s="91"/>
      <c r="M326" s="91"/>
      <c r="N326" s="568"/>
      <c r="O326" s="569"/>
      <c r="P326" s="569"/>
      <c r="Q326" s="569"/>
      <c r="R326" s="569"/>
      <c r="S326" s="570"/>
      <c r="T326" s="91"/>
    </row>
    <row r="327" spans="1:20" x14ac:dyDescent="0.25">
      <c r="A327" s="45"/>
      <c r="B327" s="711" t="str">
        <f>IF(LEN($B$326)&gt;70,(LEN($B$326)-70)&amp;" over 70 character limit, please repeat full job title at start of main duties below","")</f>
        <v/>
      </c>
      <c r="C327" s="711"/>
      <c r="D327" s="711"/>
      <c r="E327" s="711"/>
      <c r="F327" s="711"/>
      <c r="G327" s="711"/>
      <c r="H327" s="711"/>
      <c r="I327" s="711"/>
      <c r="J327" s="45"/>
      <c r="K327" s="91"/>
      <c r="L327" s="91"/>
      <c r="M327" s="91"/>
      <c r="N327" s="574"/>
      <c r="O327" s="575"/>
      <c r="P327" s="575"/>
      <c r="Q327" s="575"/>
      <c r="R327" s="575"/>
      <c r="S327" s="576"/>
      <c r="T327" s="91"/>
    </row>
    <row r="328" spans="1:20" x14ac:dyDescent="0.25">
      <c r="A328" s="590" t="s">
        <v>797</v>
      </c>
      <c r="B328" s="590"/>
      <c r="C328" s="590"/>
      <c r="D328" s="590"/>
      <c r="E328" s="590"/>
      <c r="F328" s="590"/>
      <c r="G328" s="590"/>
      <c r="H328" s="590"/>
      <c r="I328" s="590"/>
      <c r="J328" s="590"/>
      <c r="K328" s="91"/>
      <c r="L328" s="91"/>
      <c r="M328" s="91"/>
      <c r="N328" s="133"/>
      <c r="O328" s="133"/>
      <c r="P328" s="133"/>
      <c r="Q328" s="133"/>
      <c r="R328" s="133"/>
      <c r="S328" s="133"/>
      <c r="T328" s="91"/>
    </row>
    <row r="329" spans="1:20" ht="15.75" thickBot="1" x14ac:dyDescent="0.3">
      <c r="A329" s="590"/>
      <c r="B329" s="590"/>
      <c r="C329" s="590"/>
      <c r="D329" s="590"/>
      <c r="E329" s="590"/>
      <c r="F329" s="590"/>
      <c r="G329" s="590"/>
      <c r="H329" s="590"/>
      <c r="I329" s="590"/>
      <c r="J329" s="590"/>
      <c r="K329" s="91"/>
      <c r="L329" s="91"/>
      <c r="M329" s="91"/>
      <c r="N329" s="132"/>
      <c r="O329" s="132"/>
      <c r="P329" s="132"/>
      <c r="Q329" s="132"/>
      <c r="R329" s="132"/>
      <c r="S329" s="132"/>
      <c r="T329" s="91"/>
    </row>
    <row r="330" spans="1:20" x14ac:dyDescent="0.25">
      <c r="A330" s="795"/>
      <c r="B330" s="796"/>
      <c r="C330" s="796"/>
      <c r="D330" s="796"/>
      <c r="E330" s="796"/>
      <c r="F330" s="796"/>
      <c r="G330" s="796"/>
      <c r="H330" s="796"/>
      <c r="I330" s="796"/>
      <c r="J330" s="797"/>
      <c r="K330" s="91"/>
      <c r="L330" s="91"/>
      <c r="M330" s="91"/>
      <c r="N330" s="568"/>
      <c r="O330" s="569"/>
      <c r="P330" s="569"/>
      <c r="Q330" s="569"/>
      <c r="R330" s="569"/>
      <c r="S330" s="570"/>
      <c r="T330" s="91"/>
    </row>
    <row r="331" spans="1:20" x14ac:dyDescent="0.25">
      <c r="A331" s="813"/>
      <c r="B331" s="814"/>
      <c r="C331" s="814"/>
      <c r="D331" s="814"/>
      <c r="E331" s="814"/>
      <c r="F331" s="814"/>
      <c r="G331" s="814"/>
      <c r="H331" s="814"/>
      <c r="I331" s="814"/>
      <c r="J331" s="815"/>
      <c r="K331" s="91"/>
      <c r="L331" s="91"/>
      <c r="M331" s="91"/>
      <c r="N331" s="571"/>
      <c r="O331" s="572"/>
      <c r="P331" s="572"/>
      <c r="Q331" s="572"/>
      <c r="R331" s="572"/>
      <c r="S331" s="573"/>
      <c r="T331" s="91"/>
    </row>
    <row r="332" spans="1:20" x14ac:dyDescent="0.25">
      <c r="A332" s="813"/>
      <c r="B332" s="814"/>
      <c r="C332" s="814"/>
      <c r="D332" s="814"/>
      <c r="E332" s="814"/>
      <c r="F332" s="814"/>
      <c r="G332" s="814"/>
      <c r="H332" s="814"/>
      <c r="I332" s="814"/>
      <c r="J332" s="815"/>
      <c r="K332" s="91"/>
      <c r="L332" s="91"/>
      <c r="M332" s="91"/>
      <c r="N332" s="571"/>
      <c r="O332" s="572"/>
      <c r="P332" s="572"/>
      <c r="Q332" s="572"/>
      <c r="R332" s="572"/>
      <c r="S332" s="573"/>
      <c r="T332" s="91"/>
    </row>
    <row r="333" spans="1:20" x14ac:dyDescent="0.25">
      <c r="A333" s="813"/>
      <c r="B333" s="814"/>
      <c r="C333" s="814"/>
      <c r="D333" s="814"/>
      <c r="E333" s="814"/>
      <c r="F333" s="814"/>
      <c r="G333" s="814"/>
      <c r="H333" s="814"/>
      <c r="I333" s="814"/>
      <c r="J333" s="815"/>
      <c r="K333" s="91"/>
      <c r="L333" s="91"/>
      <c r="M333" s="91"/>
      <c r="N333" s="571"/>
      <c r="O333" s="572"/>
      <c r="P333" s="572"/>
      <c r="Q333" s="572"/>
      <c r="R333" s="572"/>
      <c r="S333" s="573"/>
      <c r="T333" s="91"/>
    </row>
    <row r="334" spans="1:20" x14ac:dyDescent="0.25">
      <c r="A334" s="813"/>
      <c r="B334" s="814"/>
      <c r="C334" s="814"/>
      <c r="D334" s="814"/>
      <c r="E334" s="814"/>
      <c r="F334" s="814"/>
      <c r="G334" s="814"/>
      <c r="H334" s="814"/>
      <c r="I334" s="814"/>
      <c r="J334" s="815"/>
      <c r="K334" s="91"/>
      <c r="L334" s="91"/>
      <c r="M334" s="91"/>
      <c r="N334" s="571"/>
      <c r="O334" s="572"/>
      <c r="P334" s="572"/>
      <c r="Q334" s="572"/>
      <c r="R334" s="572"/>
      <c r="S334" s="573"/>
      <c r="T334" s="91"/>
    </row>
    <row r="335" spans="1:20" x14ac:dyDescent="0.25">
      <c r="A335" s="813"/>
      <c r="B335" s="814"/>
      <c r="C335" s="814"/>
      <c r="D335" s="814"/>
      <c r="E335" s="814"/>
      <c r="F335" s="814"/>
      <c r="G335" s="814"/>
      <c r="H335" s="814"/>
      <c r="I335" s="814"/>
      <c r="J335" s="815"/>
      <c r="K335" s="91"/>
      <c r="L335" s="91"/>
      <c r="M335" s="91"/>
      <c r="N335" s="571"/>
      <c r="O335" s="572"/>
      <c r="P335" s="572"/>
      <c r="Q335" s="572"/>
      <c r="R335" s="572"/>
      <c r="S335" s="573"/>
      <c r="T335" s="91"/>
    </row>
    <row r="336" spans="1:20" x14ac:dyDescent="0.25">
      <c r="A336" s="813"/>
      <c r="B336" s="814"/>
      <c r="C336" s="814"/>
      <c r="D336" s="814"/>
      <c r="E336" s="814"/>
      <c r="F336" s="814"/>
      <c r="G336" s="814"/>
      <c r="H336" s="814"/>
      <c r="I336" s="814"/>
      <c r="J336" s="815"/>
      <c r="K336" s="91"/>
      <c r="L336" s="91"/>
      <c r="M336" s="91"/>
      <c r="N336" s="571"/>
      <c r="O336" s="572"/>
      <c r="P336" s="572"/>
      <c r="Q336" s="572"/>
      <c r="R336" s="572"/>
      <c r="S336" s="573"/>
      <c r="T336" s="91"/>
    </row>
    <row r="337" spans="1:20" x14ac:dyDescent="0.25">
      <c r="A337" s="813"/>
      <c r="B337" s="814"/>
      <c r="C337" s="814"/>
      <c r="D337" s="814"/>
      <c r="E337" s="814"/>
      <c r="F337" s="814"/>
      <c r="G337" s="814"/>
      <c r="H337" s="814"/>
      <c r="I337" s="814"/>
      <c r="J337" s="815"/>
      <c r="K337" s="91"/>
      <c r="L337" s="91"/>
      <c r="M337" s="91"/>
      <c r="N337" s="571"/>
      <c r="O337" s="572"/>
      <c r="P337" s="572"/>
      <c r="Q337" s="572"/>
      <c r="R337" s="572"/>
      <c r="S337" s="573"/>
      <c r="T337" s="91"/>
    </row>
    <row r="338" spans="1:20" x14ac:dyDescent="0.25">
      <c r="A338" s="813"/>
      <c r="B338" s="814"/>
      <c r="C338" s="814"/>
      <c r="D338" s="814"/>
      <c r="E338" s="814"/>
      <c r="F338" s="814"/>
      <c r="G338" s="814"/>
      <c r="H338" s="814"/>
      <c r="I338" s="814"/>
      <c r="J338" s="815"/>
      <c r="K338" s="91"/>
      <c r="L338" s="91"/>
      <c r="M338" s="91"/>
      <c r="N338" s="571"/>
      <c r="O338" s="572"/>
      <c r="P338" s="572"/>
      <c r="Q338" s="572"/>
      <c r="R338" s="572"/>
      <c r="S338" s="573"/>
      <c r="T338" s="91"/>
    </row>
    <row r="339" spans="1:20" x14ac:dyDescent="0.25">
      <c r="A339" s="813"/>
      <c r="B339" s="814"/>
      <c r="C339" s="814"/>
      <c r="D339" s="814"/>
      <c r="E339" s="814"/>
      <c r="F339" s="814"/>
      <c r="G339" s="814"/>
      <c r="H339" s="814"/>
      <c r="I339" s="814"/>
      <c r="J339" s="815"/>
      <c r="K339" s="91"/>
      <c r="L339" s="91"/>
      <c r="M339" s="91"/>
      <c r="N339" s="571"/>
      <c r="O339" s="572"/>
      <c r="P339" s="572"/>
      <c r="Q339" s="572"/>
      <c r="R339" s="572"/>
      <c r="S339" s="573"/>
      <c r="T339" s="91"/>
    </row>
    <row r="340" spans="1:20" x14ac:dyDescent="0.25">
      <c r="A340" s="813"/>
      <c r="B340" s="814"/>
      <c r="C340" s="814"/>
      <c r="D340" s="814"/>
      <c r="E340" s="814"/>
      <c r="F340" s="814"/>
      <c r="G340" s="814"/>
      <c r="H340" s="814"/>
      <c r="I340" s="814"/>
      <c r="J340" s="815"/>
      <c r="K340" s="91"/>
      <c r="L340" s="91"/>
      <c r="M340" s="91"/>
      <c r="N340" s="571"/>
      <c r="O340" s="572"/>
      <c r="P340" s="572"/>
      <c r="Q340" s="572"/>
      <c r="R340" s="572"/>
      <c r="S340" s="573"/>
      <c r="T340" s="91"/>
    </row>
    <row r="341" spans="1:20" x14ac:dyDescent="0.25">
      <c r="A341" s="813"/>
      <c r="B341" s="814"/>
      <c r="C341" s="814"/>
      <c r="D341" s="814"/>
      <c r="E341" s="814"/>
      <c r="F341" s="814"/>
      <c r="G341" s="814"/>
      <c r="H341" s="814"/>
      <c r="I341" s="814"/>
      <c r="J341" s="815"/>
      <c r="K341" s="91"/>
      <c r="L341" s="91"/>
      <c r="M341" s="91"/>
      <c r="N341" s="571"/>
      <c r="O341" s="572"/>
      <c r="P341" s="572"/>
      <c r="Q341" s="572"/>
      <c r="R341" s="572"/>
      <c r="S341" s="573"/>
      <c r="T341" s="91"/>
    </row>
    <row r="342" spans="1:20" ht="15.75" thickBot="1" x14ac:dyDescent="0.3">
      <c r="A342" s="798"/>
      <c r="B342" s="799"/>
      <c r="C342" s="799"/>
      <c r="D342" s="799"/>
      <c r="E342" s="799"/>
      <c r="F342" s="799"/>
      <c r="G342" s="799"/>
      <c r="H342" s="799"/>
      <c r="I342" s="799"/>
      <c r="J342" s="800"/>
      <c r="K342" s="91"/>
      <c r="L342" s="91"/>
      <c r="M342" s="91"/>
      <c r="N342" s="571"/>
      <c r="O342" s="572"/>
      <c r="P342" s="572"/>
      <c r="Q342" s="572"/>
      <c r="R342" s="572"/>
      <c r="S342" s="573"/>
      <c r="T342" s="91"/>
    </row>
    <row r="343" spans="1:20" x14ac:dyDescent="0.25">
      <c r="A343" s="577" t="str">
        <f>IF($A$330&lt;&gt;"",IF(LEN($A$330)&lt;300,"TOO SHORT!",IF(AND(900&lt;LEN($A$330),LEN($A$330)&lt;=1000),(1000-LEN($A$330))&amp;" characters left",IF(LEN($A$330)&gt;1000,(LEN($A$330)-1000)&amp;" characters over 1,000 limit!",""))),"")</f>
        <v/>
      </c>
      <c r="B343" s="577"/>
      <c r="C343" s="577"/>
      <c r="D343" s="577"/>
      <c r="E343" s="577"/>
      <c r="F343" s="577"/>
      <c r="G343" s="577"/>
      <c r="H343" s="577"/>
      <c r="I343" s="577"/>
      <c r="J343" s="577"/>
      <c r="K343" s="91"/>
      <c r="L343" s="91"/>
      <c r="M343" s="91"/>
      <c r="N343" s="571"/>
      <c r="O343" s="572"/>
      <c r="P343" s="572"/>
      <c r="Q343" s="572"/>
      <c r="R343" s="572"/>
      <c r="S343" s="573"/>
      <c r="T343" s="91"/>
    </row>
    <row r="344" spans="1:20" x14ac:dyDescent="0.25">
      <c r="A344" s="593" t="s">
        <v>798</v>
      </c>
      <c r="B344" s="593"/>
      <c r="C344" s="593"/>
      <c r="D344" s="593"/>
      <c r="E344" s="593"/>
      <c r="F344" s="593"/>
      <c r="G344" s="593"/>
      <c r="H344" s="593"/>
      <c r="I344" s="593"/>
      <c r="J344" s="593"/>
      <c r="K344" s="91"/>
      <c r="L344" s="91"/>
      <c r="M344" s="91"/>
      <c r="N344" s="571"/>
      <c r="O344" s="572"/>
      <c r="P344" s="572"/>
      <c r="Q344" s="572"/>
      <c r="R344" s="572"/>
      <c r="S344" s="573"/>
      <c r="T344" s="91"/>
    </row>
    <row r="345" spans="1:20" x14ac:dyDescent="0.25">
      <c r="A345" s="593"/>
      <c r="B345" s="593"/>
      <c r="C345" s="593"/>
      <c r="D345" s="593"/>
      <c r="E345" s="593"/>
      <c r="F345" s="593"/>
      <c r="G345" s="593"/>
      <c r="H345" s="593"/>
      <c r="I345" s="593"/>
      <c r="J345" s="593"/>
      <c r="K345" s="91"/>
      <c r="L345" s="91"/>
      <c r="M345" s="91"/>
      <c r="N345" s="574"/>
      <c r="O345" s="575"/>
      <c r="P345" s="575"/>
      <c r="Q345" s="575"/>
      <c r="R345" s="575"/>
      <c r="S345" s="576"/>
      <c r="T345" s="91"/>
    </row>
    <row r="346" spans="1:20" x14ac:dyDescent="0.25">
      <c r="A346" s="593"/>
      <c r="B346" s="593"/>
      <c r="C346" s="593"/>
      <c r="D346" s="593"/>
      <c r="E346" s="593"/>
      <c r="F346" s="593"/>
      <c r="G346" s="593"/>
      <c r="H346" s="593"/>
      <c r="I346" s="593"/>
      <c r="J346" s="593"/>
      <c r="K346" s="276"/>
      <c r="L346" s="276"/>
      <c r="M346" s="276"/>
      <c r="N346" s="282"/>
      <c r="O346" s="282"/>
      <c r="P346" s="282"/>
      <c r="Q346" s="282"/>
      <c r="R346" s="282"/>
      <c r="S346" s="282"/>
      <c r="T346" s="276"/>
    </row>
    <row r="347" spans="1:20" s="269" customFormat="1" x14ac:dyDescent="0.25">
      <c r="A347" s="286"/>
      <c r="B347" s="286"/>
      <c r="C347" s="286"/>
      <c r="D347" s="286"/>
      <c r="E347" s="286"/>
      <c r="F347" s="286"/>
      <c r="G347" s="286"/>
      <c r="H347" s="286"/>
      <c r="I347" s="286"/>
      <c r="J347" s="286"/>
      <c r="K347" s="276"/>
      <c r="L347" s="276"/>
      <c r="M347" s="276"/>
      <c r="N347" s="282"/>
      <c r="O347" s="282"/>
      <c r="P347" s="282"/>
      <c r="Q347" s="282"/>
      <c r="R347" s="282"/>
      <c r="S347" s="282"/>
      <c r="T347" s="276"/>
    </row>
    <row r="348" spans="1:20" x14ac:dyDescent="0.25">
      <c r="A348" s="271" t="s">
        <v>803</v>
      </c>
      <c r="B348" s="283"/>
      <c r="C348" s="283"/>
      <c r="D348" s="283"/>
      <c r="E348" s="283"/>
      <c r="F348" s="283"/>
      <c r="G348" s="283"/>
      <c r="H348" s="283"/>
      <c r="I348" s="283"/>
      <c r="J348" s="283"/>
      <c r="K348" s="280"/>
      <c r="L348" s="280"/>
      <c r="M348" s="280"/>
      <c r="N348" s="280"/>
      <c r="O348" s="280"/>
      <c r="P348" s="280"/>
      <c r="Q348" s="280"/>
      <c r="R348" s="280"/>
      <c r="S348" s="280"/>
      <c r="T348" s="280"/>
    </row>
    <row r="349" spans="1:20" ht="15" customHeight="1" x14ac:dyDescent="0.25">
      <c r="A349" s="499" t="s">
        <v>1034</v>
      </c>
      <c r="B349" s="499"/>
      <c r="C349" s="499"/>
      <c r="D349" s="499"/>
      <c r="E349" s="499"/>
      <c r="F349" s="499"/>
      <c r="G349" s="499"/>
      <c r="H349" s="499"/>
      <c r="I349" s="499"/>
      <c r="J349" s="499"/>
      <c r="K349" s="41"/>
      <c r="L349" s="41"/>
      <c r="M349" s="41"/>
      <c r="N349" s="558"/>
      <c r="O349" s="559"/>
      <c r="P349" s="559"/>
      <c r="Q349" s="559"/>
      <c r="R349" s="559"/>
      <c r="S349" s="560"/>
      <c r="T349" s="41"/>
    </row>
    <row r="350" spans="1:20" x14ac:dyDescent="0.25">
      <c r="A350" s="499"/>
      <c r="B350" s="499"/>
      <c r="C350" s="499"/>
      <c r="D350" s="499"/>
      <c r="E350" s="499"/>
      <c r="F350" s="499"/>
      <c r="G350" s="499"/>
      <c r="H350" s="499"/>
      <c r="I350" s="499"/>
      <c r="J350" s="499"/>
      <c r="K350" s="41"/>
      <c r="L350" s="41"/>
      <c r="M350" s="41"/>
      <c r="N350" s="561"/>
      <c r="O350" s="562"/>
      <c r="P350" s="562"/>
      <c r="Q350" s="562"/>
      <c r="R350" s="562"/>
      <c r="S350" s="563"/>
      <c r="T350" s="41"/>
    </row>
    <row r="351" spans="1:20" x14ac:dyDescent="0.25">
      <c r="A351" s="499"/>
      <c r="B351" s="499"/>
      <c r="C351" s="499"/>
      <c r="D351" s="499"/>
      <c r="E351" s="499"/>
      <c r="F351" s="499"/>
      <c r="G351" s="499"/>
      <c r="H351" s="499"/>
      <c r="I351" s="499"/>
      <c r="J351" s="499"/>
      <c r="K351" s="41"/>
      <c r="L351" s="41"/>
      <c r="M351" s="41"/>
      <c r="N351" s="561"/>
      <c r="O351" s="562"/>
      <c r="P351" s="562"/>
      <c r="Q351" s="562"/>
      <c r="R351" s="562"/>
      <c r="S351" s="563"/>
      <c r="T351" s="41"/>
    </row>
    <row r="352" spans="1:20" x14ac:dyDescent="0.25">
      <c r="A352" s="499"/>
      <c r="B352" s="499"/>
      <c r="C352" s="499"/>
      <c r="D352" s="499"/>
      <c r="E352" s="499"/>
      <c r="F352" s="499"/>
      <c r="G352" s="499"/>
      <c r="H352" s="499"/>
      <c r="I352" s="499"/>
      <c r="J352" s="499"/>
      <c r="K352" s="41"/>
      <c r="L352" s="41"/>
      <c r="M352" s="41"/>
      <c r="N352" s="561"/>
      <c r="O352" s="562"/>
      <c r="P352" s="562"/>
      <c r="Q352" s="562"/>
      <c r="R352" s="562"/>
      <c r="S352" s="563"/>
      <c r="T352" s="41"/>
    </row>
    <row r="353" spans="1:20" x14ac:dyDescent="0.25">
      <c r="A353" s="499"/>
      <c r="B353" s="499"/>
      <c r="C353" s="499"/>
      <c r="D353" s="499"/>
      <c r="E353" s="499"/>
      <c r="F353" s="499"/>
      <c r="G353" s="499"/>
      <c r="H353" s="499"/>
      <c r="I353" s="499"/>
      <c r="J353" s="499"/>
      <c r="K353" s="41"/>
      <c r="L353" s="41"/>
      <c r="M353" s="41"/>
      <c r="N353" s="564"/>
      <c r="O353" s="565"/>
      <c r="P353" s="565"/>
      <c r="Q353" s="565"/>
      <c r="R353" s="565"/>
      <c r="S353" s="566"/>
      <c r="T353" s="41"/>
    </row>
    <row r="354" spans="1:20" x14ac:dyDescent="0.25">
      <c r="A354" s="770" t="s">
        <v>955</v>
      </c>
      <c r="B354" s="770"/>
      <c r="C354" s="770"/>
      <c r="D354" s="770"/>
      <c r="E354" s="770"/>
      <c r="F354" s="770"/>
      <c r="G354" s="770"/>
      <c r="H354" s="770"/>
      <c r="I354" s="770"/>
      <c r="J354" s="770"/>
      <c r="K354" s="41"/>
      <c r="L354" s="41"/>
      <c r="M354" s="41"/>
      <c r="N354" s="41"/>
      <c r="O354" s="41"/>
      <c r="P354" s="41"/>
      <c r="Q354" s="41"/>
      <c r="R354" s="41"/>
      <c r="S354" s="41"/>
      <c r="T354" s="41"/>
    </row>
    <row r="355" spans="1:20" x14ac:dyDescent="0.25">
      <c r="A355" s="56"/>
      <c r="B355" s="56"/>
      <c r="C355" s="56"/>
      <c r="D355" s="56"/>
      <c r="E355" s="56"/>
      <c r="F355" s="56"/>
      <c r="G355" s="56"/>
      <c r="H355" s="56"/>
      <c r="I355" s="56"/>
      <c r="J355" s="56"/>
      <c r="K355" s="41"/>
      <c r="L355" s="41"/>
      <c r="M355" s="41"/>
      <c r="N355" s="41"/>
      <c r="O355" s="41"/>
      <c r="P355" s="41"/>
      <c r="Q355" s="41"/>
      <c r="R355" s="41"/>
      <c r="S355" s="41"/>
      <c r="T355" s="41"/>
    </row>
    <row r="356" spans="1:20" x14ac:dyDescent="0.25">
      <c r="A356" s="592" t="s">
        <v>1160</v>
      </c>
      <c r="B356" s="592"/>
      <c r="C356" s="592"/>
      <c r="D356" s="592"/>
      <c r="E356" s="592"/>
      <c r="F356" s="592"/>
      <c r="G356" s="592"/>
      <c r="H356" s="592"/>
      <c r="I356" s="592"/>
      <c r="J356" s="592"/>
      <c r="K356" s="91"/>
      <c r="L356" s="91"/>
      <c r="M356" s="91"/>
      <c r="N356" s="568"/>
      <c r="O356" s="569"/>
      <c r="P356" s="569"/>
      <c r="Q356" s="569"/>
      <c r="R356" s="569"/>
      <c r="S356" s="570"/>
      <c r="T356" s="91"/>
    </row>
    <row r="357" spans="1:20" ht="15.75" thickBot="1" x14ac:dyDescent="0.3">
      <c r="A357" s="592"/>
      <c r="B357" s="592"/>
      <c r="C357" s="592"/>
      <c r="D357" s="592"/>
      <c r="E357" s="592"/>
      <c r="F357" s="592"/>
      <c r="G357" s="592"/>
      <c r="H357" s="592"/>
      <c r="I357" s="592"/>
      <c r="J357" s="592"/>
      <c r="K357" s="91"/>
      <c r="L357" s="91"/>
      <c r="M357" s="91"/>
      <c r="N357" s="571"/>
      <c r="O357" s="572"/>
      <c r="P357" s="572"/>
      <c r="Q357" s="572"/>
      <c r="R357" s="572"/>
      <c r="S357" s="573"/>
      <c r="T357" s="91"/>
    </row>
    <row r="358" spans="1:20" ht="21.75" customHeight="1" x14ac:dyDescent="0.25">
      <c r="A358" s="795"/>
      <c r="B358" s="796"/>
      <c r="C358" s="796"/>
      <c r="D358" s="796"/>
      <c r="E358" s="796"/>
      <c r="F358" s="796"/>
      <c r="G358" s="796"/>
      <c r="H358" s="796"/>
      <c r="I358" s="796"/>
      <c r="J358" s="797"/>
      <c r="K358" s="91"/>
      <c r="L358" s="91"/>
      <c r="M358" s="91"/>
      <c r="N358" s="571"/>
      <c r="O358" s="572"/>
      <c r="P358" s="572"/>
      <c r="Q358" s="572"/>
      <c r="R358" s="572"/>
      <c r="S358" s="573"/>
      <c r="T358" s="91"/>
    </row>
    <row r="359" spans="1:20" ht="21" customHeight="1" thickBot="1" x14ac:dyDescent="0.3">
      <c r="A359" s="798"/>
      <c r="B359" s="799"/>
      <c r="C359" s="799"/>
      <c r="D359" s="799"/>
      <c r="E359" s="799"/>
      <c r="F359" s="799"/>
      <c r="G359" s="799"/>
      <c r="H359" s="799"/>
      <c r="I359" s="799"/>
      <c r="J359" s="800"/>
      <c r="K359" s="91"/>
      <c r="L359" s="91"/>
      <c r="M359" s="91"/>
      <c r="N359" s="574"/>
      <c r="O359" s="575"/>
      <c r="P359" s="575"/>
      <c r="Q359" s="575"/>
      <c r="R359" s="575"/>
      <c r="S359" s="576"/>
      <c r="T359" s="91"/>
    </row>
    <row r="360" spans="1:20" x14ac:dyDescent="0.25">
      <c r="A360" s="228"/>
      <c r="B360" s="228"/>
      <c r="C360" s="228"/>
      <c r="D360" s="228"/>
      <c r="E360" s="228"/>
      <c r="F360" s="228"/>
      <c r="G360" s="228"/>
      <c r="H360" s="228"/>
      <c r="I360" s="228"/>
      <c r="J360" s="228"/>
      <c r="K360" s="91"/>
      <c r="L360" s="91"/>
      <c r="M360" s="91"/>
      <c r="N360" s="41"/>
      <c r="O360" s="41"/>
      <c r="P360" s="41"/>
      <c r="Q360" s="41"/>
      <c r="R360" s="41"/>
      <c r="S360" s="41"/>
      <c r="T360" s="91"/>
    </row>
    <row r="361" spans="1:20" x14ac:dyDescent="0.25">
      <c r="A361" s="473" t="s">
        <v>924</v>
      </c>
      <c r="B361" s="473"/>
      <c r="C361" s="473"/>
      <c r="D361" s="473"/>
      <c r="E361" s="473"/>
      <c r="F361" s="473"/>
      <c r="G361" s="473"/>
      <c r="H361" s="473"/>
      <c r="I361" s="473"/>
      <c r="J361" s="473"/>
      <c r="K361" s="41"/>
      <c r="L361" s="41"/>
      <c r="M361" s="41"/>
      <c r="N361" s="41"/>
      <c r="O361" s="41"/>
      <c r="P361" s="41"/>
      <c r="Q361" s="41"/>
      <c r="R361" s="41"/>
      <c r="S361" s="41"/>
      <c r="T361" s="41"/>
    </row>
    <row r="362" spans="1:20" ht="15.75" thickBot="1" x14ac:dyDescent="0.3">
      <c r="A362" s="56"/>
      <c r="B362" s="56"/>
      <c r="C362" s="56"/>
      <c r="D362" s="56"/>
      <c r="E362" s="56"/>
      <c r="F362" s="56"/>
      <c r="G362" s="56"/>
      <c r="H362" s="56"/>
      <c r="I362" s="56"/>
      <c r="J362" s="56"/>
      <c r="K362" s="41"/>
      <c r="L362" s="41"/>
      <c r="M362" s="41"/>
      <c r="N362" s="41"/>
      <c r="O362" s="41"/>
      <c r="P362" s="41"/>
      <c r="Q362" s="41"/>
      <c r="R362" s="41"/>
      <c r="S362" s="41"/>
      <c r="T362" s="41"/>
    </row>
    <row r="363" spans="1:20" ht="15.75" thickBot="1" x14ac:dyDescent="0.3">
      <c r="A363" s="103" t="s">
        <v>928</v>
      </c>
      <c r="B363" s="45"/>
      <c r="C363" s="45"/>
      <c r="D363" s="45"/>
      <c r="E363" s="801"/>
      <c r="F363" s="802"/>
      <c r="G363" s="802"/>
      <c r="H363" s="802"/>
      <c r="I363" s="803"/>
      <c r="J363" s="45"/>
      <c r="K363" s="91"/>
      <c r="L363" s="91"/>
      <c r="M363" s="91"/>
      <c r="N363" s="568"/>
      <c r="O363" s="569"/>
      <c r="P363" s="569"/>
      <c r="Q363" s="569"/>
      <c r="R363" s="569"/>
      <c r="S363" s="570"/>
      <c r="T363" s="91"/>
    </row>
    <row r="364" spans="1:20" x14ac:dyDescent="0.25">
      <c r="A364" s="837" t="s">
        <v>806</v>
      </c>
      <c r="B364" s="837"/>
      <c r="C364" s="837"/>
      <c r="D364" s="837"/>
      <c r="E364" s="838" t="s">
        <v>953</v>
      </c>
      <c r="F364" s="838"/>
      <c r="G364" s="838"/>
      <c r="H364" s="838"/>
      <c r="I364" s="838"/>
      <c r="J364" s="100"/>
      <c r="K364" s="91"/>
      <c r="L364" s="91"/>
      <c r="M364" s="91"/>
      <c r="N364" s="571"/>
      <c r="O364" s="572"/>
      <c r="P364" s="572"/>
      <c r="Q364" s="572"/>
      <c r="R364" s="572"/>
      <c r="S364" s="573"/>
      <c r="T364" s="91"/>
    </row>
    <row r="365" spans="1:20" x14ac:dyDescent="0.25">
      <c r="A365" s="230"/>
      <c r="B365" s="230"/>
      <c r="C365" s="230"/>
      <c r="D365" s="230"/>
      <c r="E365" s="230"/>
      <c r="F365" s="230"/>
      <c r="G365" s="230"/>
      <c r="H365" s="230"/>
      <c r="I365" s="230"/>
      <c r="J365" s="230"/>
      <c r="K365" s="91"/>
      <c r="L365" s="91"/>
      <c r="M365" s="91"/>
      <c r="N365" s="571"/>
      <c r="O365" s="572"/>
      <c r="P365" s="572"/>
      <c r="Q365" s="572"/>
      <c r="R365" s="572"/>
      <c r="S365" s="573"/>
      <c r="T365" s="91"/>
    </row>
    <row r="366" spans="1:20" ht="13.35" customHeight="1" x14ac:dyDescent="0.25">
      <c r="A366" s="808" t="s">
        <v>951</v>
      </c>
      <c r="B366" s="808"/>
      <c r="C366" s="808"/>
      <c r="D366" s="808"/>
      <c r="E366" s="808"/>
      <c r="F366" s="808"/>
      <c r="G366" s="808"/>
      <c r="H366" s="808"/>
      <c r="I366" s="808"/>
      <c r="J366" s="808"/>
      <c r="K366" s="91"/>
      <c r="L366" s="91"/>
      <c r="M366" s="91"/>
      <c r="N366" s="571"/>
      <c r="O366" s="572"/>
      <c r="P366" s="572"/>
      <c r="Q366" s="572"/>
      <c r="R366" s="572"/>
      <c r="S366" s="573"/>
      <c r="T366" s="91"/>
    </row>
    <row r="367" spans="1:20" x14ac:dyDescent="0.25">
      <c r="A367" s="808"/>
      <c r="B367" s="808"/>
      <c r="C367" s="808"/>
      <c r="D367" s="808"/>
      <c r="E367" s="808"/>
      <c r="F367" s="808"/>
      <c r="G367" s="808"/>
      <c r="H367" s="808"/>
      <c r="I367" s="808"/>
      <c r="J367" s="808"/>
      <c r="K367" s="91"/>
      <c r="L367" s="91"/>
      <c r="M367" s="91"/>
      <c r="N367" s="571"/>
      <c r="O367" s="572"/>
      <c r="P367" s="572"/>
      <c r="Q367" s="572"/>
      <c r="R367" s="572"/>
      <c r="S367" s="573"/>
      <c r="T367" s="91"/>
    </row>
    <row r="368" spans="1:20" x14ac:dyDescent="0.25">
      <c r="A368" s="235"/>
      <c r="B368" s="235"/>
      <c r="C368" s="235"/>
      <c r="D368" s="235"/>
      <c r="E368" s="235"/>
      <c r="F368" s="235"/>
      <c r="G368" s="235"/>
      <c r="H368" s="235"/>
      <c r="I368" s="235"/>
      <c r="J368" s="235"/>
      <c r="K368" s="91"/>
      <c r="L368" s="91"/>
      <c r="M368" s="91"/>
      <c r="N368" s="571"/>
      <c r="O368" s="572"/>
      <c r="P368" s="572"/>
      <c r="Q368" s="572"/>
      <c r="R368" s="572"/>
      <c r="S368" s="573"/>
      <c r="T368" s="91"/>
    </row>
    <row r="369" spans="1:20" ht="15" customHeight="1" x14ac:dyDescent="0.25">
      <c r="A369" s="567" t="s">
        <v>1123</v>
      </c>
      <c r="B369" s="567"/>
      <c r="C369" s="567"/>
      <c r="D369" s="567"/>
      <c r="E369" s="567"/>
      <c r="F369" s="567"/>
      <c r="G369" s="567"/>
      <c r="H369" s="567"/>
      <c r="I369" s="567"/>
      <c r="J369" s="567"/>
      <c r="K369" s="91"/>
      <c r="L369" s="91"/>
      <c r="M369" s="91"/>
      <c r="N369" s="571"/>
      <c r="O369" s="572"/>
      <c r="P369" s="572"/>
      <c r="Q369" s="572"/>
      <c r="R369" s="572"/>
      <c r="S369" s="573"/>
      <c r="T369" s="91"/>
    </row>
    <row r="370" spans="1:20" x14ac:dyDescent="0.25">
      <c r="A370" s="567"/>
      <c r="B370" s="567"/>
      <c r="C370" s="567"/>
      <c r="D370" s="567"/>
      <c r="E370" s="567"/>
      <c r="F370" s="567"/>
      <c r="G370" s="567"/>
      <c r="H370" s="567"/>
      <c r="I370" s="567"/>
      <c r="J370" s="567"/>
      <c r="K370" s="91"/>
      <c r="L370" s="91"/>
      <c r="M370" s="91"/>
      <c r="N370" s="571"/>
      <c r="O370" s="572"/>
      <c r="P370" s="572"/>
      <c r="Q370" s="572"/>
      <c r="R370" s="572"/>
      <c r="S370" s="573"/>
      <c r="T370" s="91"/>
    </row>
    <row r="371" spans="1:20" x14ac:dyDescent="0.25">
      <c r="A371" s="567"/>
      <c r="B371" s="567"/>
      <c r="C371" s="567"/>
      <c r="D371" s="567"/>
      <c r="E371" s="567"/>
      <c r="F371" s="567"/>
      <c r="G371" s="567"/>
      <c r="H371" s="567"/>
      <c r="I371" s="567"/>
      <c r="J371" s="567"/>
      <c r="K371" s="91"/>
      <c r="L371" s="91"/>
      <c r="M371" s="91"/>
      <c r="N371" s="571"/>
      <c r="O371" s="572"/>
      <c r="P371" s="572"/>
      <c r="Q371" s="572"/>
      <c r="R371" s="572"/>
      <c r="S371" s="573"/>
      <c r="T371" s="91"/>
    </row>
    <row r="372" spans="1:20" s="269" customFormat="1" x14ac:dyDescent="0.25">
      <c r="A372" s="302"/>
      <c r="B372" s="302"/>
      <c r="C372" s="302"/>
      <c r="D372" s="302"/>
      <c r="E372" s="302"/>
      <c r="F372" s="302"/>
      <c r="G372" s="302"/>
      <c r="H372" s="302"/>
      <c r="I372" s="302"/>
      <c r="J372" s="302"/>
      <c r="K372" s="276"/>
      <c r="L372" s="276"/>
      <c r="M372" s="276"/>
      <c r="N372" s="571"/>
      <c r="O372" s="572"/>
      <c r="P372" s="572"/>
      <c r="Q372" s="572"/>
      <c r="R372" s="572"/>
      <c r="S372" s="573"/>
      <c r="T372" s="276"/>
    </row>
    <row r="373" spans="1:20" x14ac:dyDescent="0.25">
      <c r="A373" s="591" t="s">
        <v>956</v>
      </c>
      <c r="B373" s="591"/>
      <c r="C373" s="591"/>
      <c r="D373" s="591"/>
      <c r="E373" s="591"/>
      <c r="F373" s="591"/>
      <c r="G373" s="591"/>
      <c r="H373" s="591"/>
      <c r="I373" s="591"/>
      <c r="J373" s="591"/>
      <c r="K373" s="91"/>
      <c r="L373" s="91"/>
      <c r="M373" s="91"/>
      <c r="N373" s="571"/>
      <c r="O373" s="572"/>
      <c r="P373" s="572"/>
      <c r="Q373" s="572"/>
      <c r="R373" s="572"/>
      <c r="S373" s="573"/>
      <c r="T373" s="91"/>
    </row>
    <row r="374" spans="1:20" s="269" customFormat="1" x14ac:dyDescent="0.25">
      <c r="A374" s="591"/>
      <c r="B374" s="591"/>
      <c r="C374" s="591"/>
      <c r="D374" s="591"/>
      <c r="E374" s="591"/>
      <c r="F374" s="591"/>
      <c r="G374" s="591"/>
      <c r="H374" s="591"/>
      <c r="I374" s="591"/>
      <c r="J374" s="591"/>
      <c r="K374" s="276"/>
      <c r="L374" s="276"/>
      <c r="M374" s="276"/>
      <c r="N374" s="571"/>
      <c r="O374" s="572"/>
      <c r="P374" s="572"/>
      <c r="Q374" s="572"/>
      <c r="R374" s="572"/>
      <c r="S374" s="573"/>
      <c r="T374" s="276"/>
    </row>
    <row r="375" spans="1:20" s="269" customFormat="1" ht="15.75" thickBot="1" x14ac:dyDescent="0.3">
      <c r="A375" s="304"/>
      <c r="B375" s="304"/>
      <c r="C375" s="304"/>
      <c r="D375" s="304"/>
      <c r="E375" s="304"/>
      <c r="F375" s="304"/>
      <c r="G375" s="304"/>
      <c r="H375" s="304"/>
      <c r="I375" s="304"/>
      <c r="J375" s="304"/>
      <c r="K375" s="276"/>
      <c r="L375" s="276"/>
      <c r="M375" s="276"/>
      <c r="N375" s="571"/>
      <c r="O375" s="572"/>
      <c r="P375" s="572"/>
      <c r="Q375" s="572"/>
      <c r="R375" s="572"/>
      <c r="S375" s="573"/>
      <c r="T375" s="276"/>
    </row>
    <row r="376" spans="1:20" ht="15.75" thickBot="1" x14ac:dyDescent="0.3">
      <c r="A376" s="598" t="s">
        <v>929</v>
      </c>
      <c r="B376" s="598"/>
      <c r="C376" s="598"/>
      <c r="D376" s="598"/>
      <c r="E376" s="598"/>
      <c r="F376" s="598"/>
      <c r="G376" s="229"/>
      <c r="H376" s="229"/>
      <c r="I376" s="229"/>
      <c r="J376" s="236" t="s">
        <v>379</v>
      </c>
      <c r="K376" s="91"/>
      <c r="L376" s="91"/>
      <c r="M376" s="91"/>
      <c r="N376" s="571"/>
      <c r="O376" s="572"/>
      <c r="P376" s="572"/>
      <c r="Q376" s="572"/>
      <c r="R376" s="572"/>
      <c r="S376" s="573"/>
      <c r="T376" s="91"/>
    </row>
    <row r="377" spans="1:20" ht="15.75" thickBot="1" x14ac:dyDescent="0.3">
      <c r="A377" s="237"/>
      <c r="B377" s="237"/>
      <c r="C377" s="237"/>
      <c r="D377" s="237"/>
      <c r="E377" s="237"/>
      <c r="F377" s="237"/>
      <c r="G377" s="229"/>
      <c r="H377" s="229"/>
      <c r="I377" s="229"/>
      <c r="J377" s="238"/>
      <c r="K377" s="91"/>
      <c r="L377" s="91"/>
      <c r="M377" s="91"/>
      <c r="N377" s="571"/>
      <c r="O377" s="572"/>
      <c r="P377" s="572"/>
      <c r="Q377" s="572"/>
      <c r="R377" s="572"/>
      <c r="S377" s="573"/>
      <c r="T377" s="91"/>
    </row>
    <row r="378" spans="1:20" ht="15.75" thickBot="1" x14ac:dyDescent="0.3">
      <c r="A378" s="598" t="s">
        <v>930</v>
      </c>
      <c r="B378" s="598"/>
      <c r="C378" s="599"/>
      <c r="D378" s="826"/>
      <c r="E378" s="827"/>
      <c r="F378" s="827"/>
      <c r="G378" s="827"/>
      <c r="H378" s="827"/>
      <c r="I378" s="827"/>
      <c r="J378" s="828"/>
      <c r="K378" s="91"/>
      <c r="L378" s="91"/>
      <c r="M378" s="91"/>
      <c r="N378" s="571"/>
      <c r="O378" s="572"/>
      <c r="P378" s="572"/>
      <c r="Q378" s="572"/>
      <c r="R378" s="572"/>
      <c r="S378" s="573"/>
      <c r="T378" s="91"/>
    </row>
    <row r="379" spans="1:20" x14ac:dyDescent="0.25">
      <c r="A379" s="829" t="s">
        <v>931</v>
      </c>
      <c r="B379" s="829"/>
      <c r="C379" s="829"/>
      <c r="D379" s="829"/>
      <c r="E379" s="239"/>
      <c r="F379" s="239"/>
      <c r="G379" s="239"/>
      <c r="H379" s="239"/>
      <c r="I379" s="239"/>
      <c r="J379" s="239"/>
      <c r="K379" s="91"/>
      <c r="L379" s="91"/>
      <c r="M379" s="91"/>
      <c r="N379" s="574"/>
      <c r="O379" s="575"/>
      <c r="P379" s="575"/>
      <c r="Q379" s="575"/>
      <c r="R379" s="575"/>
      <c r="S379" s="576"/>
      <c r="T379" s="91"/>
    </row>
    <row r="380" spans="1:20" x14ac:dyDescent="0.25">
      <c r="A380" s="296"/>
      <c r="B380" s="296"/>
      <c r="C380" s="296"/>
      <c r="D380" s="296"/>
      <c r="E380" s="239"/>
      <c r="F380" s="239"/>
      <c r="G380" s="239"/>
      <c r="H380" s="239"/>
      <c r="I380" s="239"/>
      <c r="J380" s="239"/>
      <c r="K380" s="91"/>
      <c r="L380" s="91"/>
      <c r="M380" s="91"/>
      <c r="N380" s="282"/>
      <c r="O380" s="282"/>
      <c r="P380" s="282"/>
      <c r="Q380" s="282"/>
      <c r="R380" s="282"/>
      <c r="S380" s="282"/>
      <c r="T380" s="91"/>
    </row>
    <row r="381" spans="1:20" x14ac:dyDescent="0.25">
      <c r="A381" s="240"/>
      <c r="B381" s="240"/>
      <c r="C381" s="240"/>
      <c r="D381" s="240"/>
      <c r="E381" s="240"/>
      <c r="F381" s="240"/>
      <c r="G381" s="240"/>
      <c r="H381" s="240"/>
      <c r="I381" s="240"/>
      <c r="J381" s="240"/>
      <c r="K381" s="41"/>
      <c r="L381" s="41"/>
      <c r="M381" s="41"/>
      <c r="N381" s="41"/>
      <c r="O381" s="41"/>
      <c r="P381" s="41"/>
      <c r="Q381" s="41"/>
      <c r="R381" s="41"/>
      <c r="S381" s="41"/>
      <c r="T381" s="41"/>
    </row>
    <row r="382" spans="1:20" x14ac:dyDescent="0.25">
      <c r="A382" s="229" t="s">
        <v>810</v>
      </c>
      <c r="B382" s="219"/>
      <c r="C382" s="219"/>
      <c r="D382" s="219"/>
      <c r="E382" s="219"/>
      <c r="F382" s="219"/>
      <c r="G382" s="219"/>
      <c r="H382" s="219"/>
      <c r="I382" s="219"/>
      <c r="J382" s="219"/>
      <c r="K382" s="41"/>
      <c r="L382" s="41"/>
      <c r="M382" s="41"/>
      <c r="N382" s="558"/>
      <c r="O382" s="559"/>
      <c r="P382" s="559"/>
      <c r="Q382" s="559"/>
      <c r="R382" s="559"/>
      <c r="S382" s="560"/>
      <c r="T382" s="41"/>
    </row>
    <row r="383" spans="1:20" ht="15" customHeight="1" x14ac:dyDescent="0.25">
      <c r="A383" s="215"/>
      <c r="B383" s="215"/>
      <c r="C383" s="215"/>
      <c r="D383" s="215"/>
      <c r="E383" s="215"/>
      <c r="F383" s="215"/>
      <c r="G383" s="215"/>
      <c r="H383" s="215"/>
      <c r="I383" s="215"/>
      <c r="J383" s="247" t="str">
        <f>IF(CHECKING!$B$164=TRUE,10,"")</f>
        <v/>
      </c>
      <c r="K383" s="41"/>
      <c r="L383" s="41"/>
      <c r="M383" s="41"/>
      <c r="N383" s="561"/>
      <c r="O383" s="562"/>
      <c r="P383" s="562"/>
      <c r="Q383" s="562"/>
      <c r="R383" s="562"/>
      <c r="S383" s="563"/>
      <c r="T383" s="41"/>
    </row>
    <row r="384" spans="1:20" ht="18" customHeight="1" x14ac:dyDescent="0.25">
      <c r="A384" s="215"/>
      <c r="B384" s="215"/>
      <c r="C384" s="215"/>
      <c r="D384" s="215"/>
      <c r="E384" s="215"/>
      <c r="F384" s="215"/>
      <c r="G384" s="215"/>
      <c r="H384" s="215"/>
      <c r="I384" s="215"/>
      <c r="J384" s="215"/>
      <c r="K384" s="41"/>
      <c r="L384" s="41"/>
      <c r="M384" s="41"/>
      <c r="N384" s="561"/>
      <c r="O384" s="562"/>
      <c r="P384" s="562"/>
      <c r="Q384" s="562"/>
      <c r="R384" s="562"/>
      <c r="S384" s="563"/>
      <c r="T384" s="41"/>
    </row>
    <row r="385" spans="1:20" ht="24" customHeight="1" x14ac:dyDescent="0.25">
      <c r="A385" s="215"/>
      <c r="B385" s="215"/>
      <c r="C385" s="215"/>
      <c r="D385" s="215"/>
      <c r="E385" s="215"/>
      <c r="F385" s="215"/>
      <c r="G385" s="215"/>
      <c r="H385" s="215"/>
      <c r="I385" s="215"/>
      <c r="J385" s="247" t="str">
        <f>IF(CHECKING!$B$165=TRUE,10,"")</f>
        <v/>
      </c>
      <c r="K385" s="41"/>
      <c r="L385" s="41"/>
      <c r="M385" s="41"/>
      <c r="N385" s="561"/>
      <c r="O385" s="562"/>
      <c r="P385" s="562"/>
      <c r="Q385" s="562"/>
      <c r="R385" s="562"/>
      <c r="S385" s="563"/>
      <c r="T385" s="41"/>
    </row>
    <row r="386" spans="1:20" ht="15" customHeight="1" x14ac:dyDescent="0.25">
      <c r="A386" s="215"/>
      <c r="B386" s="215"/>
      <c r="C386" s="215"/>
      <c r="D386" s="215"/>
      <c r="E386" s="215"/>
      <c r="F386" s="215"/>
      <c r="G386" s="215"/>
      <c r="H386" s="215"/>
      <c r="I386" s="215"/>
      <c r="J386" s="215"/>
      <c r="K386" s="41"/>
      <c r="L386" s="41"/>
      <c r="M386" s="41"/>
      <c r="N386" s="561"/>
      <c r="O386" s="562"/>
      <c r="P386" s="562"/>
      <c r="Q386" s="562"/>
      <c r="R386" s="562"/>
      <c r="S386" s="563"/>
      <c r="T386" s="41"/>
    </row>
    <row r="387" spans="1:20" ht="15" customHeight="1" x14ac:dyDescent="0.25">
      <c r="A387" s="215"/>
      <c r="B387" s="215"/>
      <c r="C387" s="215"/>
      <c r="D387" s="215"/>
      <c r="E387" s="215"/>
      <c r="F387" s="215"/>
      <c r="G387" s="215"/>
      <c r="H387" s="215"/>
      <c r="I387" s="215"/>
      <c r="J387" s="247" t="str">
        <f>IF(CHECKING!$B$166=TRUE,10,"")</f>
        <v/>
      </c>
      <c r="K387" s="41"/>
      <c r="L387" s="41"/>
      <c r="M387" s="41"/>
      <c r="N387" s="561"/>
      <c r="O387" s="562"/>
      <c r="P387" s="562"/>
      <c r="Q387" s="562"/>
      <c r="R387" s="562"/>
      <c r="S387" s="563"/>
      <c r="T387" s="41"/>
    </row>
    <row r="388" spans="1:20" ht="15" customHeight="1" x14ac:dyDescent="0.25">
      <c r="A388" s="215"/>
      <c r="B388" s="215"/>
      <c r="C388" s="215"/>
      <c r="D388" s="215"/>
      <c r="E388" s="215"/>
      <c r="F388" s="215"/>
      <c r="G388" s="215"/>
      <c r="H388" s="215"/>
      <c r="I388" s="215"/>
      <c r="J388" s="215"/>
      <c r="K388" s="41"/>
      <c r="L388" s="41"/>
      <c r="M388" s="41"/>
      <c r="N388" s="561"/>
      <c r="O388" s="562"/>
      <c r="P388" s="562"/>
      <c r="Q388" s="562"/>
      <c r="R388" s="562"/>
      <c r="S388" s="563"/>
      <c r="T388" s="41"/>
    </row>
    <row r="389" spans="1:20" ht="18.600000000000001" customHeight="1" x14ac:dyDescent="0.25">
      <c r="A389" s="215"/>
      <c r="B389" s="215"/>
      <c r="C389" s="215"/>
      <c r="D389" s="215"/>
      <c r="E389" s="215"/>
      <c r="F389" s="215"/>
      <c r="G389" s="215"/>
      <c r="H389" s="215"/>
      <c r="I389" s="215"/>
      <c r="J389" s="247" t="str">
        <f>IF(CHECKING!$B$167=TRUE,10,"")</f>
        <v/>
      </c>
      <c r="K389" s="41"/>
      <c r="L389" s="41"/>
      <c r="M389" s="41"/>
      <c r="N389" s="564"/>
      <c r="O389" s="565"/>
      <c r="P389" s="565"/>
      <c r="Q389" s="565"/>
      <c r="R389" s="565"/>
      <c r="S389" s="566"/>
      <c r="T389" s="41"/>
    </row>
    <row r="390" spans="1:20" ht="15" customHeight="1" x14ac:dyDescent="0.25">
      <c r="A390" s="807" t="str">
        <f>IF(AND(CHECKING!$B$5=TRUE,CHECKING!$B$164=TRUE),"Switching applications can only be made from within the UK","")</f>
        <v/>
      </c>
      <c r="B390" s="807"/>
      <c r="C390" s="807"/>
      <c r="D390" s="807"/>
      <c r="E390" s="807"/>
      <c r="F390" s="807"/>
      <c r="G390" s="807"/>
      <c r="H390" s="807"/>
      <c r="I390" s="807"/>
      <c r="J390" s="807"/>
      <c r="K390" s="41"/>
      <c r="L390" s="41"/>
      <c r="M390" s="41"/>
      <c r="N390" s="143"/>
      <c r="O390" s="143"/>
      <c r="P390" s="143"/>
      <c r="Q390" s="143"/>
      <c r="R390" s="143"/>
      <c r="S390" s="143"/>
      <c r="T390" s="41"/>
    </row>
    <row r="391" spans="1:20" x14ac:dyDescent="0.25">
      <c r="A391" s="249" t="s">
        <v>1154</v>
      </c>
      <c r="B391" s="249"/>
      <c r="C391" s="249"/>
      <c r="D391" s="249"/>
      <c r="E391" s="249"/>
      <c r="F391" s="249"/>
      <c r="G391" s="249"/>
      <c r="H391" s="249"/>
      <c r="I391" s="249"/>
      <c r="J391" s="249"/>
      <c r="K391" s="41"/>
      <c r="L391" s="41"/>
      <c r="M391" s="41"/>
      <c r="N391" s="41"/>
      <c r="O391" s="41"/>
      <c r="P391" s="41"/>
      <c r="Q391" s="41"/>
      <c r="R391" s="41"/>
      <c r="S391" s="41"/>
      <c r="T391" s="41"/>
    </row>
    <row r="392" spans="1:20" x14ac:dyDescent="0.25">
      <c r="A392" s="248" t="s">
        <v>934</v>
      </c>
      <c r="B392" s="250"/>
      <c r="C392" s="250"/>
      <c r="D392" s="250"/>
      <c r="E392" s="250"/>
      <c r="F392" s="250"/>
      <c r="G392" s="250"/>
      <c r="H392" s="250"/>
      <c r="I392" s="250"/>
      <c r="J392" s="250"/>
      <c r="K392" s="41"/>
      <c r="L392" s="41"/>
      <c r="M392" s="41"/>
      <c r="N392" s="558"/>
      <c r="O392" s="559"/>
      <c r="P392" s="559"/>
      <c r="Q392" s="559"/>
      <c r="R392" s="559"/>
      <c r="S392" s="560"/>
      <c r="T392" s="41"/>
    </row>
    <row r="393" spans="1:20" ht="15" customHeight="1" x14ac:dyDescent="0.25">
      <c r="A393" s="214"/>
      <c r="B393" s="214"/>
      <c r="C393" s="214"/>
      <c r="D393" s="214"/>
      <c r="E393" s="214"/>
      <c r="F393" s="214"/>
      <c r="G393" s="214"/>
      <c r="H393" s="214"/>
      <c r="I393" s="214"/>
      <c r="J393" s="250"/>
      <c r="K393" s="41"/>
      <c r="L393" s="41"/>
      <c r="M393" s="41"/>
      <c r="N393" s="561"/>
      <c r="O393" s="562"/>
      <c r="P393" s="562"/>
      <c r="Q393" s="562"/>
      <c r="R393" s="562"/>
      <c r="S393" s="563"/>
      <c r="T393" s="41"/>
    </row>
    <row r="394" spans="1:20" ht="15" customHeight="1" x14ac:dyDescent="0.25">
      <c r="A394" s="214"/>
      <c r="B394" s="214"/>
      <c r="C394" s="214"/>
      <c r="D394" s="214"/>
      <c r="E394" s="214"/>
      <c r="F394" s="214"/>
      <c r="G394" s="214"/>
      <c r="H394" s="214"/>
      <c r="I394" s="214"/>
      <c r="J394" s="217" t="str">
        <f>IF(CHECKING!$B$170=TRUE,10,"")</f>
        <v/>
      </c>
      <c r="K394" s="41"/>
      <c r="L394" s="41"/>
      <c r="M394" s="41"/>
      <c r="N394" s="561"/>
      <c r="O394" s="562"/>
      <c r="P394" s="562"/>
      <c r="Q394" s="562"/>
      <c r="R394" s="562"/>
      <c r="S394" s="563"/>
      <c r="T394" s="41"/>
    </row>
    <row r="395" spans="1:20" ht="15" customHeight="1" x14ac:dyDescent="0.25">
      <c r="A395" s="214"/>
      <c r="B395" s="214"/>
      <c r="C395" s="214"/>
      <c r="D395" s="214"/>
      <c r="E395" s="214"/>
      <c r="F395" s="214"/>
      <c r="G395" s="214"/>
      <c r="H395" s="214"/>
      <c r="I395" s="214"/>
      <c r="J395" s="250"/>
      <c r="K395" s="41"/>
      <c r="L395" s="41"/>
      <c r="M395" s="41"/>
      <c r="N395" s="561"/>
      <c r="O395" s="562"/>
      <c r="P395" s="562"/>
      <c r="Q395" s="562"/>
      <c r="R395" s="562"/>
      <c r="S395" s="563"/>
      <c r="T395" s="41"/>
    </row>
    <row r="396" spans="1:20" ht="18.75" x14ac:dyDescent="0.25">
      <c r="A396" s="250"/>
      <c r="B396" s="250"/>
      <c r="C396" s="250"/>
      <c r="D396" s="250"/>
      <c r="E396" s="250"/>
      <c r="F396" s="250"/>
      <c r="G396" s="250"/>
      <c r="H396" s="250"/>
      <c r="I396" s="250"/>
      <c r="J396" s="217" t="str">
        <f>IF(CHECKING!$B$171=TRUE,10,"")</f>
        <v/>
      </c>
      <c r="K396" s="41"/>
      <c r="L396" s="41"/>
      <c r="M396" s="41"/>
      <c r="N396" s="561"/>
      <c r="O396" s="562"/>
      <c r="P396" s="562"/>
      <c r="Q396" s="562"/>
      <c r="R396" s="562"/>
      <c r="S396" s="563"/>
      <c r="T396" s="41"/>
    </row>
    <row r="397" spans="1:20" ht="15.75" thickBot="1" x14ac:dyDescent="0.3">
      <c r="A397" s="250"/>
      <c r="B397" s="250"/>
      <c r="C397" s="250"/>
      <c r="D397" s="250"/>
      <c r="E397" s="250"/>
      <c r="F397" s="250"/>
      <c r="G397" s="250"/>
      <c r="H397" s="250"/>
      <c r="I397" s="250"/>
      <c r="J397" s="250"/>
      <c r="K397" s="41"/>
      <c r="L397" s="41"/>
      <c r="M397" s="41"/>
      <c r="N397" s="561"/>
      <c r="O397" s="562"/>
      <c r="P397" s="562"/>
      <c r="Q397" s="562"/>
      <c r="R397" s="562"/>
      <c r="S397" s="563"/>
      <c r="T397" s="41"/>
    </row>
    <row r="398" spans="1:20" ht="15.75" thickBot="1" x14ac:dyDescent="0.3">
      <c r="A398" s="594" t="s">
        <v>938</v>
      </c>
      <c r="B398" s="594"/>
      <c r="C398" s="594"/>
      <c r="D398" s="594"/>
      <c r="E398" s="594"/>
      <c r="F398" s="594"/>
      <c r="G398" s="594"/>
      <c r="H398" s="594"/>
      <c r="I398" s="251" t="s">
        <v>379</v>
      </c>
      <c r="J398" s="250"/>
      <c r="K398" s="41"/>
      <c r="L398" s="41"/>
      <c r="M398" s="41"/>
      <c r="N398" s="561"/>
      <c r="O398" s="562"/>
      <c r="P398" s="562"/>
      <c r="Q398" s="562"/>
      <c r="R398" s="562"/>
      <c r="S398" s="563"/>
      <c r="T398" s="41"/>
    </row>
    <row r="399" spans="1:20" ht="15" customHeight="1" x14ac:dyDescent="0.25">
      <c r="A399" s="214"/>
      <c r="B399" s="595" t="str">
        <f>IF(OR($I$398="- select -",$I$398=""),"",CONCATENATE("Please remind the applicant that they must inform ",IF($I$398="yes","the Student immigration team","their Tier 4/ Student sponsor")," that they will be applying to switch to a Skilled Worker visa"))</f>
        <v/>
      </c>
      <c r="C399" s="595"/>
      <c r="D399" s="595"/>
      <c r="E399" s="595"/>
      <c r="F399" s="595"/>
      <c r="G399" s="595"/>
      <c r="H399" s="595"/>
      <c r="I399" s="595"/>
      <c r="J399" s="218"/>
      <c r="K399" s="41"/>
      <c r="L399" s="41"/>
      <c r="M399" s="41"/>
      <c r="N399" s="564"/>
      <c r="O399" s="565"/>
      <c r="P399" s="565"/>
      <c r="Q399" s="565"/>
      <c r="R399" s="565"/>
      <c r="S399" s="566"/>
      <c r="T399" s="41"/>
    </row>
    <row r="400" spans="1:20" x14ac:dyDescent="0.25">
      <c r="A400" s="218"/>
      <c r="B400" s="595"/>
      <c r="C400" s="595"/>
      <c r="D400" s="595"/>
      <c r="E400" s="595"/>
      <c r="F400" s="595"/>
      <c r="G400" s="595"/>
      <c r="H400" s="595"/>
      <c r="I400" s="595"/>
      <c r="J400" s="218"/>
      <c r="K400" s="41"/>
      <c r="L400" s="41"/>
      <c r="M400" s="41"/>
      <c r="N400" s="143"/>
      <c r="O400" s="143"/>
      <c r="P400" s="143"/>
      <c r="Q400" s="143"/>
      <c r="R400" s="143"/>
      <c r="S400" s="143"/>
      <c r="T400" s="41"/>
    </row>
    <row r="401" spans="1:20" ht="15" customHeight="1" x14ac:dyDescent="0.25">
      <c r="A401" s="596" t="s">
        <v>1104</v>
      </c>
      <c r="B401" s="596"/>
      <c r="C401" s="596"/>
      <c r="D401" s="596"/>
      <c r="E401" s="596"/>
      <c r="F401" s="596"/>
      <c r="G401" s="596"/>
      <c r="H401" s="596"/>
      <c r="I401" s="596"/>
      <c r="J401" s="596"/>
      <c r="K401" s="41"/>
      <c r="L401" s="41"/>
      <c r="M401" s="41"/>
      <c r="N401" s="143"/>
      <c r="O401" s="143"/>
      <c r="P401" s="143"/>
      <c r="Q401" s="143"/>
      <c r="R401" s="143"/>
      <c r="S401" s="143"/>
      <c r="T401" s="41"/>
    </row>
    <row r="402" spans="1:20" x14ac:dyDescent="0.25">
      <c r="A402" s="596"/>
      <c r="B402" s="596"/>
      <c r="C402" s="596"/>
      <c r="D402" s="596"/>
      <c r="E402" s="596"/>
      <c r="F402" s="596"/>
      <c r="G402" s="596"/>
      <c r="H402" s="596"/>
      <c r="I402" s="596"/>
      <c r="J402" s="596"/>
      <c r="K402" s="41"/>
      <c r="L402" s="41"/>
      <c r="M402" s="41"/>
      <c r="N402" s="143"/>
      <c r="O402" s="143"/>
      <c r="P402" s="143"/>
      <c r="Q402" s="143"/>
      <c r="R402" s="143"/>
      <c r="S402" s="143"/>
      <c r="T402" s="41"/>
    </row>
    <row r="403" spans="1:20" x14ac:dyDescent="0.25">
      <c r="A403" s="596"/>
      <c r="B403" s="596"/>
      <c r="C403" s="596"/>
      <c r="D403" s="596"/>
      <c r="E403" s="596"/>
      <c r="F403" s="596"/>
      <c r="G403" s="596"/>
      <c r="H403" s="596"/>
      <c r="I403" s="596"/>
      <c r="J403" s="596"/>
      <c r="K403" s="41"/>
      <c r="L403" s="41"/>
      <c r="M403" s="41"/>
      <c r="N403" s="143"/>
      <c r="O403" s="143"/>
      <c r="P403" s="143"/>
      <c r="Q403" s="143"/>
      <c r="R403" s="143"/>
      <c r="S403" s="143"/>
      <c r="T403" s="41"/>
    </row>
    <row r="404" spans="1:20" x14ac:dyDescent="0.25">
      <c r="A404" s="596"/>
      <c r="B404" s="596"/>
      <c r="C404" s="596"/>
      <c r="D404" s="596"/>
      <c r="E404" s="596"/>
      <c r="F404" s="596"/>
      <c r="G404" s="596"/>
      <c r="H404" s="596"/>
      <c r="I404" s="596"/>
      <c r="J404" s="596"/>
      <c r="K404" s="41"/>
      <c r="L404" s="41"/>
      <c r="M404" s="41"/>
      <c r="N404" s="143"/>
      <c r="O404" s="143"/>
      <c r="P404" s="143"/>
      <c r="Q404" s="143"/>
      <c r="R404" s="143"/>
      <c r="S404" s="143"/>
      <c r="T404" s="41"/>
    </row>
    <row r="405" spans="1:20" ht="15.75" thickBot="1" x14ac:dyDescent="0.3">
      <c r="A405" s="250"/>
      <c r="B405" s="250"/>
      <c r="C405" s="250"/>
      <c r="D405" s="250"/>
      <c r="E405" s="250"/>
      <c r="F405" s="250"/>
      <c r="G405" s="250"/>
      <c r="H405" s="250"/>
      <c r="I405" s="250"/>
      <c r="J405" s="250"/>
      <c r="K405" s="41"/>
      <c r="L405" s="41"/>
      <c r="M405" s="41"/>
      <c r="N405" s="41"/>
      <c r="O405" s="41"/>
      <c r="P405" s="41"/>
      <c r="Q405" s="41"/>
      <c r="R405" s="41"/>
      <c r="S405" s="41"/>
      <c r="T405" s="41"/>
    </row>
    <row r="406" spans="1:20" x14ac:dyDescent="0.25">
      <c r="A406" s="597" t="s">
        <v>813</v>
      </c>
      <c r="B406" s="597"/>
      <c r="C406" s="597"/>
      <c r="D406" s="597"/>
      <c r="E406" s="597"/>
      <c r="F406" s="597"/>
      <c r="G406" s="597"/>
      <c r="H406" s="597"/>
      <c r="I406" s="597"/>
      <c r="J406" s="810" t="s">
        <v>379</v>
      </c>
      <c r="K406" s="41"/>
      <c r="L406" s="41"/>
      <c r="M406" s="41"/>
      <c r="N406" s="558"/>
      <c r="O406" s="559"/>
      <c r="P406" s="559"/>
      <c r="Q406" s="559"/>
      <c r="R406" s="559"/>
      <c r="S406" s="560"/>
      <c r="T406" s="41"/>
    </row>
    <row r="407" spans="1:20" x14ac:dyDescent="0.25">
      <c r="A407" s="597"/>
      <c r="B407" s="597"/>
      <c r="C407" s="597"/>
      <c r="D407" s="597"/>
      <c r="E407" s="597"/>
      <c r="F407" s="597"/>
      <c r="G407" s="597"/>
      <c r="H407" s="597"/>
      <c r="I407" s="597"/>
      <c r="J407" s="811"/>
      <c r="K407" s="41"/>
      <c r="L407" s="41"/>
      <c r="M407" s="41"/>
      <c r="N407" s="561"/>
      <c r="O407" s="562"/>
      <c r="P407" s="562"/>
      <c r="Q407" s="562"/>
      <c r="R407" s="562"/>
      <c r="S407" s="563"/>
      <c r="T407" s="41"/>
    </row>
    <row r="408" spans="1:20" ht="15.75" thickBot="1" x14ac:dyDescent="0.3">
      <c r="A408" s="597"/>
      <c r="B408" s="597"/>
      <c r="C408" s="597"/>
      <c r="D408" s="597"/>
      <c r="E408" s="597"/>
      <c r="F408" s="597"/>
      <c r="G408" s="597"/>
      <c r="H408" s="597"/>
      <c r="I408" s="597"/>
      <c r="J408" s="812"/>
      <c r="K408" s="41"/>
      <c r="L408" s="41"/>
      <c r="M408" s="41"/>
      <c r="N408" s="561"/>
      <c r="O408" s="562"/>
      <c r="P408" s="562"/>
      <c r="Q408" s="562"/>
      <c r="R408" s="562"/>
      <c r="S408" s="563"/>
      <c r="T408" s="41"/>
    </row>
    <row r="409" spans="1:20" ht="15" customHeight="1" x14ac:dyDescent="0.25">
      <c r="A409" s="673" t="s">
        <v>935</v>
      </c>
      <c r="B409" s="673"/>
      <c r="C409" s="673"/>
      <c r="D409" s="673"/>
      <c r="E409" s="673"/>
      <c r="F409" s="673"/>
      <c r="G409" s="673"/>
      <c r="H409" s="673"/>
      <c r="I409" s="673"/>
      <c r="J409" s="673"/>
      <c r="K409" s="41"/>
      <c r="L409" s="41"/>
      <c r="M409" s="41"/>
      <c r="N409" s="561"/>
      <c r="O409" s="562"/>
      <c r="P409" s="562"/>
      <c r="Q409" s="562"/>
      <c r="R409" s="562"/>
      <c r="S409" s="563"/>
      <c r="T409" s="41"/>
    </row>
    <row r="410" spans="1:20" ht="15.75" thickBot="1" x14ac:dyDescent="0.3">
      <c r="A410" s="674"/>
      <c r="B410" s="674"/>
      <c r="C410" s="674"/>
      <c r="D410" s="674"/>
      <c r="E410" s="674"/>
      <c r="F410" s="674"/>
      <c r="G410" s="674"/>
      <c r="H410" s="674"/>
      <c r="I410" s="674"/>
      <c r="J410" s="674"/>
      <c r="K410" s="41"/>
      <c r="L410" s="41"/>
      <c r="M410" s="41"/>
      <c r="N410" s="561"/>
      <c r="O410" s="562"/>
      <c r="P410" s="562"/>
      <c r="Q410" s="562"/>
      <c r="R410" s="562"/>
      <c r="S410" s="563"/>
      <c r="T410" s="41"/>
    </row>
    <row r="411" spans="1:20" x14ac:dyDescent="0.25">
      <c r="A411" s="664"/>
      <c r="B411" s="665"/>
      <c r="C411" s="665"/>
      <c r="D411" s="665"/>
      <c r="E411" s="665"/>
      <c r="F411" s="665"/>
      <c r="G411" s="665"/>
      <c r="H411" s="665"/>
      <c r="I411" s="665"/>
      <c r="J411" s="666"/>
      <c r="K411" s="41"/>
      <c r="L411" s="41"/>
      <c r="M411" s="41"/>
      <c r="N411" s="561"/>
      <c r="O411" s="562"/>
      <c r="P411" s="562"/>
      <c r="Q411" s="562"/>
      <c r="R411" s="562"/>
      <c r="S411" s="563"/>
      <c r="T411" s="41"/>
    </row>
    <row r="412" spans="1:20" x14ac:dyDescent="0.25">
      <c r="A412" s="667"/>
      <c r="B412" s="668"/>
      <c r="C412" s="668"/>
      <c r="D412" s="668"/>
      <c r="E412" s="668"/>
      <c r="F412" s="668"/>
      <c r="G412" s="668"/>
      <c r="H412" s="668"/>
      <c r="I412" s="668"/>
      <c r="J412" s="669"/>
      <c r="K412" s="41"/>
      <c r="L412" s="41"/>
      <c r="M412" s="41"/>
      <c r="N412" s="561"/>
      <c r="O412" s="562"/>
      <c r="P412" s="562"/>
      <c r="Q412" s="562"/>
      <c r="R412" s="562"/>
      <c r="S412" s="563"/>
      <c r="T412" s="41"/>
    </row>
    <row r="413" spans="1:20" x14ac:dyDescent="0.25">
      <c r="A413" s="667"/>
      <c r="B413" s="668"/>
      <c r="C413" s="668"/>
      <c r="D413" s="668"/>
      <c r="E413" s="668"/>
      <c r="F413" s="668"/>
      <c r="G413" s="668"/>
      <c r="H413" s="668"/>
      <c r="I413" s="668"/>
      <c r="J413" s="669"/>
      <c r="K413" s="41"/>
      <c r="L413" s="41"/>
      <c r="M413" s="41"/>
      <c r="N413" s="561"/>
      <c r="O413" s="562"/>
      <c r="P413" s="562"/>
      <c r="Q413" s="562"/>
      <c r="R413" s="562"/>
      <c r="S413" s="563"/>
      <c r="T413" s="41"/>
    </row>
    <row r="414" spans="1:20" x14ac:dyDescent="0.25">
      <c r="A414" s="667"/>
      <c r="B414" s="668"/>
      <c r="C414" s="668"/>
      <c r="D414" s="668"/>
      <c r="E414" s="668"/>
      <c r="F414" s="668"/>
      <c r="G414" s="668"/>
      <c r="H414" s="668"/>
      <c r="I414" s="668"/>
      <c r="J414" s="669"/>
      <c r="K414" s="41"/>
      <c r="L414" s="41"/>
      <c r="M414" s="41"/>
      <c r="N414" s="561"/>
      <c r="O414" s="562"/>
      <c r="P414" s="562"/>
      <c r="Q414" s="562"/>
      <c r="R414" s="562"/>
      <c r="S414" s="563"/>
      <c r="T414" s="41"/>
    </row>
    <row r="415" spans="1:20" ht="15.75" thickBot="1" x14ac:dyDescent="0.3">
      <c r="A415" s="670"/>
      <c r="B415" s="671"/>
      <c r="C415" s="671"/>
      <c r="D415" s="671"/>
      <c r="E415" s="671"/>
      <c r="F415" s="671"/>
      <c r="G415" s="671"/>
      <c r="H415" s="671"/>
      <c r="I415" s="671"/>
      <c r="J415" s="672"/>
      <c r="K415" s="41"/>
      <c r="L415" s="41"/>
      <c r="M415" s="41"/>
      <c r="N415" s="561"/>
      <c r="O415" s="562"/>
      <c r="P415" s="562"/>
      <c r="Q415" s="562"/>
      <c r="R415" s="562"/>
      <c r="S415" s="563"/>
      <c r="T415" s="41"/>
    </row>
    <row r="416" spans="1:20" x14ac:dyDescent="0.25">
      <c r="A416" s="675" t="s">
        <v>1028</v>
      </c>
      <c r="B416" s="675"/>
      <c r="C416" s="675"/>
      <c r="D416" s="675"/>
      <c r="E416" s="675"/>
      <c r="F416" s="675"/>
      <c r="G416" s="675"/>
      <c r="H416" s="675"/>
      <c r="I416" s="675"/>
      <c r="J416" s="675"/>
      <c r="K416" s="41"/>
      <c r="L416" s="41"/>
      <c r="M416" s="41"/>
      <c r="N416" s="561"/>
      <c r="O416" s="562"/>
      <c r="P416" s="562"/>
      <c r="Q416" s="562"/>
      <c r="R416" s="562"/>
      <c r="S416" s="563"/>
      <c r="T416" s="41"/>
    </row>
    <row r="417" spans="1:20" ht="15" customHeight="1" x14ac:dyDescent="0.25">
      <c r="A417" s="676"/>
      <c r="B417" s="676"/>
      <c r="C417" s="676"/>
      <c r="D417" s="676"/>
      <c r="E417" s="676"/>
      <c r="F417" s="676"/>
      <c r="G417" s="676"/>
      <c r="H417" s="676"/>
      <c r="I417" s="676"/>
      <c r="J417" s="676"/>
      <c r="K417" s="41"/>
      <c r="L417" s="41"/>
      <c r="M417" s="41"/>
      <c r="N417" s="561"/>
      <c r="O417" s="562"/>
      <c r="P417" s="562"/>
      <c r="Q417" s="562"/>
      <c r="R417" s="562"/>
      <c r="S417" s="563"/>
      <c r="T417" s="41"/>
    </row>
    <row r="418" spans="1:20" x14ac:dyDescent="0.25">
      <c r="A418" s="676"/>
      <c r="B418" s="676"/>
      <c r="C418" s="676"/>
      <c r="D418" s="676"/>
      <c r="E418" s="676"/>
      <c r="F418" s="676"/>
      <c r="G418" s="676"/>
      <c r="H418" s="676"/>
      <c r="I418" s="676"/>
      <c r="J418" s="676"/>
      <c r="K418" s="41"/>
      <c r="L418" s="41"/>
      <c r="M418" s="41"/>
      <c r="N418" s="561"/>
      <c r="O418" s="562"/>
      <c r="P418" s="562"/>
      <c r="Q418" s="562"/>
      <c r="R418" s="562"/>
      <c r="S418" s="563"/>
      <c r="T418" s="41"/>
    </row>
    <row r="419" spans="1:20" x14ac:dyDescent="0.25">
      <c r="A419" s="676"/>
      <c r="B419" s="676"/>
      <c r="C419" s="676"/>
      <c r="D419" s="676"/>
      <c r="E419" s="676"/>
      <c r="F419" s="676"/>
      <c r="G419" s="676"/>
      <c r="H419" s="676"/>
      <c r="I419" s="676"/>
      <c r="J419" s="676"/>
      <c r="K419" s="41"/>
      <c r="L419" s="41"/>
      <c r="M419" s="41"/>
      <c r="N419" s="564"/>
      <c r="O419" s="565"/>
      <c r="P419" s="565"/>
      <c r="Q419" s="565"/>
      <c r="R419" s="565"/>
      <c r="S419" s="566"/>
      <c r="T419" s="41"/>
    </row>
    <row r="420" spans="1:20" x14ac:dyDescent="0.25">
      <c r="A420" s="677"/>
      <c r="B420" s="677"/>
      <c r="C420" s="677"/>
      <c r="D420" s="677"/>
      <c r="E420" s="677"/>
      <c r="F420" s="677"/>
      <c r="G420" s="677"/>
      <c r="H420" s="677"/>
      <c r="I420" s="677"/>
      <c r="J420" s="677"/>
      <c r="K420" s="41"/>
      <c r="L420" s="41"/>
      <c r="M420" s="41"/>
      <c r="N420" s="41"/>
      <c r="O420" s="41"/>
      <c r="P420" s="41"/>
      <c r="Q420" s="41"/>
      <c r="R420" s="41"/>
      <c r="S420" s="41"/>
      <c r="T420" s="41"/>
    </row>
    <row r="421" spans="1:20" x14ac:dyDescent="0.25">
      <c r="A421" s="834" t="s">
        <v>993</v>
      </c>
      <c r="B421" s="834"/>
      <c r="C421" s="834"/>
      <c r="D421" s="834"/>
      <c r="E421" s="834"/>
      <c r="F421" s="834"/>
      <c r="G421" s="834"/>
      <c r="H421" s="834"/>
      <c r="I421" s="834"/>
      <c r="J421" s="834"/>
      <c r="K421" s="41"/>
      <c r="L421" s="41"/>
      <c r="M421" s="41"/>
      <c r="N421" s="41"/>
      <c r="O421" s="41"/>
      <c r="P421" s="41"/>
      <c r="Q421" s="41"/>
      <c r="R421" s="41"/>
      <c r="S421" s="41"/>
      <c r="T421" s="41"/>
    </row>
    <row r="422" spans="1:20" ht="18.75" customHeight="1" x14ac:dyDescent="0.25">
      <c r="A422" s="834"/>
      <c r="B422" s="834"/>
      <c r="C422" s="834"/>
      <c r="D422" s="834"/>
      <c r="E422" s="834"/>
      <c r="F422" s="834"/>
      <c r="G422" s="834"/>
      <c r="H422" s="834"/>
      <c r="I422" s="834"/>
      <c r="J422" s="834"/>
      <c r="K422" s="41"/>
      <c r="L422" s="41"/>
      <c r="M422" s="41"/>
      <c r="N422" s="558"/>
      <c r="O422" s="559"/>
      <c r="P422" s="559"/>
      <c r="Q422" s="559"/>
      <c r="R422" s="559"/>
      <c r="S422" s="560"/>
      <c r="T422" s="41"/>
    </row>
    <row r="423" spans="1:20" ht="15" customHeight="1" x14ac:dyDescent="0.25">
      <c r="A423" s="809" t="s">
        <v>947</v>
      </c>
      <c r="B423" s="809"/>
      <c r="C423" s="809"/>
      <c r="D423" s="809"/>
      <c r="E423" s="809"/>
      <c r="F423" s="809"/>
      <c r="G423" s="809"/>
      <c r="H423" s="809"/>
      <c r="I423" s="809"/>
      <c r="J423" s="809"/>
      <c r="K423" s="41"/>
      <c r="L423" s="41"/>
      <c r="M423" s="41"/>
      <c r="N423" s="561"/>
      <c r="O423" s="562"/>
      <c r="P423" s="562"/>
      <c r="Q423" s="562"/>
      <c r="R423" s="562"/>
      <c r="S423" s="563"/>
      <c r="T423" s="41"/>
    </row>
    <row r="424" spans="1:20" ht="15" customHeight="1" x14ac:dyDescent="0.25">
      <c r="A424" s="809"/>
      <c r="B424" s="809"/>
      <c r="C424" s="809"/>
      <c r="D424" s="809"/>
      <c r="E424" s="809"/>
      <c r="F424" s="809"/>
      <c r="G424" s="809"/>
      <c r="H424" s="809"/>
      <c r="I424" s="809"/>
      <c r="J424" s="809"/>
      <c r="K424" s="41"/>
      <c r="L424" s="41"/>
      <c r="M424" s="41"/>
      <c r="N424" s="561"/>
      <c r="O424" s="562"/>
      <c r="P424" s="562"/>
      <c r="Q424" s="562"/>
      <c r="R424" s="562"/>
      <c r="S424" s="563"/>
      <c r="T424" s="41"/>
    </row>
    <row r="425" spans="1:20" x14ac:dyDescent="0.25">
      <c r="A425" s="809"/>
      <c r="B425" s="809"/>
      <c r="C425" s="809"/>
      <c r="D425" s="809"/>
      <c r="E425" s="809"/>
      <c r="F425" s="809"/>
      <c r="G425" s="809"/>
      <c r="H425" s="809"/>
      <c r="I425" s="809"/>
      <c r="J425" s="809"/>
      <c r="K425" s="41"/>
      <c r="L425" s="41"/>
      <c r="M425" s="41"/>
      <c r="N425" s="561"/>
      <c r="O425" s="562"/>
      <c r="P425" s="562"/>
      <c r="Q425" s="562"/>
      <c r="R425" s="562"/>
      <c r="S425" s="563"/>
      <c r="T425" s="41"/>
    </row>
    <row r="426" spans="1:20" x14ac:dyDescent="0.25">
      <c r="A426" s="809"/>
      <c r="B426" s="809"/>
      <c r="C426" s="809"/>
      <c r="D426" s="809"/>
      <c r="E426" s="809"/>
      <c r="F426" s="809"/>
      <c r="G426" s="809"/>
      <c r="H426" s="809"/>
      <c r="I426" s="809"/>
      <c r="J426" s="809"/>
      <c r="K426" s="41"/>
      <c r="L426" s="41"/>
      <c r="M426" s="41"/>
      <c r="N426" s="561"/>
      <c r="O426" s="562"/>
      <c r="P426" s="562"/>
      <c r="Q426" s="562"/>
      <c r="R426" s="562"/>
      <c r="S426" s="563"/>
      <c r="T426" s="41"/>
    </row>
    <row r="427" spans="1:20" x14ac:dyDescent="0.25">
      <c r="A427" s="228"/>
      <c r="B427" s="228"/>
      <c r="C427" s="228"/>
      <c r="D427" s="228"/>
      <c r="E427" s="228"/>
      <c r="F427" s="228"/>
      <c r="G427" s="228"/>
      <c r="H427" s="228"/>
      <c r="I427" s="228"/>
      <c r="J427" s="228"/>
      <c r="K427" s="41"/>
      <c r="L427" s="41"/>
      <c r="M427" s="41"/>
      <c r="N427" s="561"/>
      <c r="O427" s="562"/>
      <c r="P427" s="562"/>
      <c r="Q427" s="562"/>
      <c r="R427" s="562"/>
      <c r="S427" s="563"/>
      <c r="T427" s="41"/>
    </row>
    <row r="428" spans="1:20" ht="20.25" customHeight="1" x14ac:dyDescent="0.25">
      <c r="A428" s="298" t="s">
        <v>966</v>
      </c>
      <c r="B428" s="228"/>
      <c r="C428" s="228"/>
      <c r="D428" s="228"/>
      <c r="E428" s="228"/>
      <c r="F428" s="228"/>
      <c r="G428" s="228"/>
      <c r="H428" s="228"/>
      <c r="I428" s="228"/>
      <c r="J428" s="228"/>
      <c r="K428" s="41"/>
      <c r="L428" s="41"/>
      <c r="M428" s="41"/>
      <c r="N428" s="561"/>
      <c r="O428" s="562"/>
      <c r="P428" s="562"/>
      <c r="Q428" s="562"/>
      <c r="R428" s="562"/>
      <c r="S428" s="563"/>
      <c r="T428" s="41"/>
    </row>
    <row r="429" spans="1:20" x14ac:dyDescent="0.25">
      <c r="A429" s="326" t="s">
        <v>948</v>
      </c>
      <c r="B429" s="228"/>
      <c r="C429" s="228"/>
      <c r="D429" s="228"/>
      <c r="E429" s="228"/>
      <c r="F429" s="228"/>
      <c r="G429" s="228"/>
      <c r="H429" s="228"/>
      <c r="I429" s="228"/>
      <c r="J429" s="228"/>
      <c r="K429" s="41"/>
      <c r="L429" s="41"/>
      <c r="M429" s="41"/>
      <c r="N429" s="561"/>
      <c r="O429" s="562"/>
      <c r="P429" s="562"/>
      <c r="Q429" s="562"/>
      <c r="R429" s="562"/>
      <c r="S429" s="563"/>
      <c r="T429" s="41"/>
    </row>
    <row r="430" spans="1:20" x14ac:dyDescent="0.25">
      <c r="A430" s="326" t="s">
        <v>949</v>
      </c>
      <c r="B430" s="298"/>
      <c r="C430" s="298"/>
      <c r="D430" s="298"/>
      <c r="E430" s="298"/>
      <c r="F430" s="298"/>
      <c r="G430" s="298"/>
      <c r="H430" s="298"/>
      <c r="I430" s="298"/>
      <c r="J430" s="298"/>
      <c r="K430" s="41"/>
      <c r="L430" s="41"/>
      <c r="M430" s="41"/>
      <c r="N430" s="561"/>
      <c r="O430" s="562"/>
      <c r="P430" s="562"/>
      <c r="Q430" s="562"/>
      <c r="R430" s="562"/>
      <c r="S430" s="563"/>
      <c r="T430" s="41"/>
    </row>
    <row r="431" spans="1:20" ht="15" customHeight="1" x14ac:dyDescent="0.25">
      <c r="A431" s="830" t="s">
        <v>950</v>
      </c>
      <c r="B431" s="830"/>
      <c r="C431" s="830"/>
      <c r="D431" s="830"/>
      <c r="E431" s="830"/>
      <c r="F431" s="830"/>
      <c r="G431" s="830"/>
      <c r="H431" s="830"/>
      <c r="I431" s="830"/>
      <c r="J431" s="830"/>
      <c r="K431" s="41"/>
      <c r="L431" s="41"/>
      <c r="M431" s="41"/>
      <c r="N431" s="561"/>
      <c r="O431" s="562"/>
      <c r="P431" s="562"/>
      <c r="Q431" s="562"/>
      <c r="R431" s="562"/>
      <c r="S431" s="563"/>
      <c r="T431" s="41"/>
    </row>
    <row r="432" spans="1:20" ht="15" customHeight="1" x14ac:dyDescent="0.25">
      <c r="A432" s="830"/>
      <c r="B432" s="830"/>
      <c r="C432" s="830"/>
      <c r="D432" s="830"/>
      <c r="E432" s="830"/>
      <c r="F432" s="830"/>
      <c r="G432" s="830"/>
      <c r="H432" s="830"/>
      <c r="I432" s="830"/>
      <c r="J432" s="830"/>
      <c r="K432" s="41"/>
      <c r="L432" s="41"/>
      <c r="M432" s="41"/>
      <c r="N432" s="561"/>
      <c r="O432" s="562"/>
      <c r="P432" s="562"/>
      <c r="Q432" s="562"/>
      <c r="R432" s="562"/>
      <c r="S432" s="563"/>
      <c r="T432" s="41"/>
    </row>
    <row r="433" spans="1:20" s="269" customFormat="1" ht="15" customHeight="1" x14ac:dyDescent="0.25">
      <c r="A433" s="830"/>
      <c r="B433" s="830"/>
      <c r="C433" s="830"/>
      <c r="D433" s="830"/>
      <c r="E433" s="830"/>
      <c r="F433" s="830"/>
      <c r="G433" s="830"/>
      <c r="H433" s="830"/>
      <c r="I433" s="830"/>
      <c r="J433" s="830"/>
      <c r="K433" s="41"/>
      <c r="L433" s="41"/>
      <c r="M433" s="41"/>
      <c r="N433" s="561"/>
      <c r="O433" s="562"/>
      <c r="P433" s="562"/>
      <c r="Q433" s="562"/>
      <c r="R433" s="562"/>
      <c r="S433" s="563"/>
      <c r="T433" s="41"/>
    </row>
    <row r="434" spans="1:20" s="269" customFormat="1" ht="6" customHeight="1" x14ac:dyDescent="0.25">
      <c r="A434" s="830"/>
      <c r="B434" s="830"/>
      <c r="C434" s="830"/>
      <c r="D434" s="830"/>
      <c r="E434" s="830"/>
      <c r="F434" s="830"/>
      <c r="G434" s="830"/>
      <c r="H434" s="830"/>
      <c r="I434" s="830"/>
      <c r="J434" s="830"/>
      <c r="K434" s="41"/>
      <c r="L434" s="41"/>
      <c r="M434" s="41"/>
      <c r="N434" s="561"/>
      <c r="O434" s="562"/>
      <c r="P434" s="562"/>
      <c r="Q434" s="562"/>
      <c r="R434" s="562"/>
      <c r="S434" s="563"/>
      <c r="T434" s="41"/>
    </row>
    <row r="435" spans="1:20" s="269" customFormat="1" ht="15" customHeight="1" x14ac:dyDescent="0.25">
      <c r="A435" s="831" t="s">
        <v>967</v>
      </c>
      <c r="B435" s="831"/>
      <c r="C435" s="831"/>
      <c r="D435" s="831"/>
      <c r="E435" s="831"/>
      <c r="F435" s="831"/>
      <c r="G435" s="831"/>
      <c r="H435" s="831"/>
      <c r="I435" s="831"/>
      <c r="J435" s="831"/>
      <c r="K435" s="41"/>
      <c r="L435" s="41"/>
      <c r="M435" s="41"/>
      <c r="N435" s="561"/>
      <c r="O435" s="562"/>
      <c r="P435" s="562"/>
      <c r="Q435" s="562"/>
      <c r="R435" s="562"/>
      <c r="S435" s="563"/>
      <c r="T435" s="41"/>
    </row>
    <row r="436" spans="1:20" s="269" customFormat="1" ht="15" customHeight="1" x14ac:dyDescent="0.25">
      <c r="A436" s="831"/>
      <c r="B436" s="831"/>
      <c r="C436" s="831"/>
      <c r="D436" s="831"/>
      <c r="E436" s="831"/>
      <c r="F436" s="831"/>
      <c r="G436" s="831"/>
      <c r="H436" s="831"/>
      <c r="I436" s="831"/>
      <c r="J436" s="831"/>
      <c r="K436" s="41"/>
      <c r="L436" s="41"/>
      <c r="M436" s="41"/>
      <c r="N436" s="564"/>
      <c r="O436" s="565"/>
      <c r="P436" s="565"/>
      <c r="Q436" s="565"/>
      <c r="R436" s="565"/>
      <c r="S436" s="566"/>
      <c r="T436" s="41"/>
    </row>
    <row r="437" spans="1:20" x14ac:dyDescent="0.25">
      <c r="A437" s="832" t="s">
        <v>968</v>
      </c>
      <c r="B437" s="832"/>
      <c r="C437" s="832"/>
      <c r="D437" s="832"/>
      <c r="E437" s="832"/>
      <c r="F437" s="832"/>
      <c r="G437" s="832"/>
      <c r="H437" s="832"/>
      <c r="I437" s="832"/>
      <c r="J437" s="832"/>
      <c r="K437" s="41"/>
      <c r="L437" s="41"/>
      <c r="M437" s="41"/>
      <c r="N437" s="41"/>
      <c r="O437" s="41"/>
      <c r="P437" s="41"/>
      <c r="Q437" s="41"/>
      <c r="R437" s="41"/>
      <c r="S437" s="41"/>
      <c r="T437" s="41"/>
    </row>
    <row r="438" spans="1:20" s="269" customFormat="1" x14ac:dyDescent="0.25">
      <c r="A438" s="832"/>
      <c r="B438" s="832"/>
      <c r="C438" s="832"/>
      <c r="D438" s="832"/>
      <c r="E438" s="832"/>
      <c r="F438" s="832"/>
      <c r="G438" s="832"/>
      <c r="H438" s="832"/>
      <c r="I438" s="832"/>
      <c r="J438" s="832"/>
      <c r="K438" s="41"/>
      <c r="L438" s="41"/>
      <c r="M438" s="41"/>
      <c r="N438" s="41"/>
      <c r="O438" s="41"/>
      <c r="P438" s="41"/>
      <c r="Q438" s="41"/>
      <c r="R438" s="41"/>
      <c r="S438" s="41"/>
      <c r="T438" s="41"/>
    </row>
    <row r="439" spans="1:20" s="269" customFormat="1" x14ac:dyDescent="0.25">
      <c r="A439" s="832"/>
      <c r="B439" s="832"/>
      <c r="C439" s="832"/>
      <c r="D439" s="832"/>
      <c r="E439" s="832"/>
      <c r="F439" s="832"/>
      <c r="G439" s="832"/>
      <c r="H439" s="832"/>
      <c r="I439" s="832"/>
      <c r="J439" s="832"/>
      <c r="K439" s="41"/>
      <c r="L439" s="41"/>
      <c r="M439" s="41"/>
      <c r="N439" s="41"/>
      <c r="O439" s="41"/>
      <c r="P439" s="41"/>
      <c r="Q439" s="41"/>
      <c r="R439" s="41"/>
      <c r="S439" s="41"/>
      <c r="T439" s="41"/>
    </row>
    <row r="440" spans="1:20" s="269" customFormat="1" x14ac:dyDescent="0.25">
      <c r="A440" s="325" t="s">
        <v>991</v>
      </c>
      <c r="B440" s="313"/>
      <c r="C440" s="313"/>
      <c r="D440" s="313"/>
      <c r="E440" s="312"/>
      <c r="F440" s="311"/>
      <c r="G440" s="311"/>
      <c r="H440" s="311"/>
      <c r="I440" s="311"/>
      <c r="J440" s="311"/>
      <c r="K440" s="41"/>
      <c r="L440" s="41"/>
      <c r="M440" s="41"/>
      <c r="N440" s="41"/>
      <c r="O440" s="41"/>
      <c r="P440" s="41"/>
      <c r="Q440" s="41"/>
      <c r="R440" s="41"/>
      <c r="S440" s="41"/>
      <c r="T440" s="41"/>
    </row>
    <row r="441" spans="1:20" s="269" customFormat="1" ht="11.25" customHeight="1" x14ac:dyDescent="0.25">
      <c r="A441" s="325"/>
      <c r="B441" s="313"/>
      <c r="C441" s="313"/>
      <c r="D441" s="313"/>
      <c r="E441" s="312"/>
      <c r="F441" s="311"/>
      <c r="G441" s="311"/>
      <c r="H441" s="311"/>
      <c r="I441" s="311"/>
      <c r="J441" s="311"/>
      <c r="K441" s="41"/>
      <c r="L441" s="41"/>
      <c r="M441" s="41"/>
      <c r="N441" s="41"/>
      <c r="O441" s="41"/>
      <c r="P441" s="41"/>
      <c r="Q441" s="41"/>
      <c r="R441" s="41"/>
      <c r="S441" s="41"/>
      <c r="T441" s="41"/>
    </row>
    <row r="442" spans="1:20" s="269" customFormat="1" x14ac:dyDescent="0.25">
      <c r="A442" s="833" t="s">
        <v>992</v>
      </c>
      <c r="B442" s="833"/>
      <c r="C442" s="833"/>
      <c r="D442" s="833"/>
      <c r="E442" s="833"/>
      <c r="F442" s="833"/>
      <c r="G442" s="833"/>
      <c r="H442" s="833"/>
      <c r="I442" s="833"/>
      <c r="J442" s="833"/>
      <c r="K442" s="41"/>
      <c r="L442" s="41"/>
      <c r="M442" s="41"/>
      <c r="N442" s="41"/>
      <c r="O442" s="41"/>
      <c r="P442" s="41"/>
      <c r="Q442" s="41"/>
      <c r="R442" s="41"/>
      <c r="S442" s="41"/>
      <c r="T442" s="41"/>
    </row>
    <row r="443" spans="1:20" ht="21.75" customHeight="1" x14ac:dyDescent="0.25">
      <c r="A443" s="833"/>
      <c r="B443" s="833"/>
      <c r="C443" s="833"/>
      <c r="D443" s="833"/>
      <c r="E443" s="833"/>
      <c r="F443" s="833"/>
      <c r="G443" s="833"/>
      <c r="H443" s="833"/>
      <c r="I443" s="833"/>
      <c r="J443" s="833"/>
      <c r="K443" s="41"/>
      <c r="L443" s="41"/>
      <c r="M443" s="41"/>
      <c r="N443" s="41"/>
      <c r="O443" s="41"/>
      <c r="P443" s="41"/>
      <c r="Q443" s="41"/>
      <c r="R443" s="41"/>
      <c r="S443" s="41"/>
      <c r="T443" s="41"/>
    </row>
    <row r="444" spans="1:20" x14ac:dyDescent="0.25">
      <c r="A444" s="469" t="s">
        <v>817</v>
      </c>
      <c r="B444" s="469"/>
      <c r="C444" s="469"/>
      <c r="D444" s="469"/>
      <c r="E444" s="469"/>
      <c r="F444" s="469"/>
      <c r="G444" s="469"/>
      <c r="H444" s="469"/>
      <c r="I444" s="469"/>
      <c r="J444" s="469"/>
      <c r="K444" s="41"/>
      <c r="L444" s="41"/>
      <c r="M444" s="41"/>
      <c r="N444" s="41"/>
      <c r="O444" s="41"/>
      <c r="P444" s="41"/>
      <c r="Q444" s="41"/>
      <c r="R444" s="41"/>
      <c r="S444" s="41"/>
      <c r="T444" s="41"/>
    </row>
    <row r="445" spans="1:20" x14ac:dyDescent="0.25">
      <c r="A445" s="602" t="s">
        <v>920</v>
      </c>
      <c r="B445" s="602"/>
      <c r="C445" s="602"/>
      <c r="D445" s="602"/>
      <c r="E445" s="602"/>
      <c r="F445" s="602"/>
      <c r="G445" s="602"/>
      <c r="H445" s="602"/>
      <c r="I445" s="602"/>
      <c r="J445" s="602"/>
      <c r="K445" s="41"/>
      <c r="L445" s="41"/>
      <c r="M445" s="41"/>
      <c r="N445" s="41"/>
      <c r="O445" s="41"/>
      <c r="P445" s="41"/>
      <c r="Q445" s="41"/>
      <c r="R445" s="41"/>
      <c r="S445" s="41"/>
      <c r="T445" s="41"/>
    </row>
    <row r="446" spans="1:20" x14ac:dyDescent="0.25">
      <c r="A446" s="602"/>
      <c r="B446" s="602"/>
      <c r="C446" s="602"/>
      <c r="D446" s="602"/>
      <c r="E446" s="602"/>
      <c r="F446" s="602"/>
      <c r="G446" s="602"/>
      <c r="H446" s="602"/>
      <c r="I446" s="602"/>
      <c r="J446" s="602"/>
      <c r="K446" s="41"/>
      <c r="L446" s="41"/>
      <c r="M446" s="41"/>
      <c r="N446" s="41"/>
      <c r="O446" s="41"/>
      <c r="P446" s="41"/>
      <c r="Q446" s="41"/>
      <c r="R446" s="41"/>
      <c r="S446" s="41"/>
      <c r="T446" s="41"/>
    </row>
    <row r="447" spans="1:20" x14ac:dyDescent="0.25">
      <c r="A447" s="602"/>
      <c r="B447" s="602"/>
      <c r="C447" s="602"/>
      <c r="D447" s="602"/>
      <c r="E447" s="602"/>
      <c r="F447" s="602"/>
      <c r="G447" s="602"/>
      <c r="H447" s="602"/>
      <c r="I447" s="602"/>
      <c r="J447" s="602"/>
      <c r="K447" s="41"/>
      <c r="L447" s="41"/>
      <c r="M447" s="41"/>
      <c r="N447" s="41"/>
      <c r="O447" s="41"/>
      <c r="P447" s="41"/>
      <c r="Q447" s="41"/>
      <c r="R447" s="41"/>
      <c r="S447" s="41"/>
      <c r="T447" s="41"/>
    </row>
    <row r="448" spans="1:20" x14ac:dyDescent="0.25">
      <c r="A448" s="152" t="s">
        <v>896</v>
      </c>
      <c r="B448" s="45"/>
      <c r="C448" s="153"/>
      <c r="D448" s="153"/>
      <c r="E448" s="153"/>
      <c r="F448" s="153"/>
      <c r="G448" s="153"/>
      <c r="H448" s="153"/>
      <c r="I448" s="153"/>
      <c r="J448" s="153"/>
      <c r="K448" s="41"/>
      <c r="L448" s="41"/>
      <c r="M448" s="41"/>
      <c r="N448" s="41"/>
      <c r="O448" s="41"/>
      <c r="P448" s="41"/>
      <c r="Q448" s="41"/>
      <c r="R448" s="41"/>
      <c r="S448" s="41"/>
      <c r="T448" s="41"/>
    </row>
    <row r="449" spans="1:20" x14ac:dyDescent="0.25">
      <c r="A449" s="45"/>
      <c r="B449" s="778" t="s">
        <v>954</v>
      </c>
      <c r="C449" s="778"/>
      <c r="D449" s="778"/>
      <c r="E449" s="778"/>
      <c r="F449" s="778"/>
      <c r="G449" s="778"/>
      <c r="H449" s="778"/>
      <c r="I449" s="303"/>
      <c r="J449" s="303"/>
      <c r="K449" s="41"/>
      <c r="L449" s="41"/>
      <c r="M449" s="41"/>
      <c r="N449" s="41"/>
      <c r="O449" s="41"/>
      <c r="P449" s="41"/>
      <c r="Q449" s="41"/>
      <c r="R449" s="41"/>
      <c r="S449" s="41"/>
      <c r="T449" s="41"/>
    </row>
    <row r="450" spans="1:20" x14ac:dyDescent="0.25">
      <c r="A450" s="593" t="s">
        <v>914</v>
      </c>
      <c r="B450" s="593"/>
      <c r="C450" s="593"/>
      <c r="D450" s="593"/>
      <c r="E450" s="593"/>
      <c r="F450" s="593"/>
      <c r="G450" s="593"/>
      <c r="H450" s="593"/>
      <c r="I450" s="593"/>
      <c r="J450" s="593"/>
      <c r="K450" s="41"/>
      <c r="L450" s="41"/>
      <c r="M450" s="41"/>
      <c r="N450" s="41"/>
      <c r="O450" s="41"/>
      <c r="P450" s="41"/>
      <c r="Q450" s="41"/>
      <c r="R450" s="41"/>
      <c r="S450" s="41"/>
      <c r="T450" s="41"/>
    </row>
    <row r="451" spans="1:20" x14ac:dyDescent="0.25">
      <c r="A451" s="593"/>
      <c r="B451" s="593"/>
      <c r="C451" s="593"/>
      <c r="D451" s="593"/>
      <c r="E451" s="593"/>
      <c r="F451" s="593"/>
      <c r="G451" s="593"/>
      <c r="H451" s="593"/>
      <c r="I451" s="593"/>
      <c r="J451" s="593"/>
      <c r="K451" s="41"/>
      <c r="L451" s="41"/>
      <c r="M451" s="41"/>
      <c r="N451" s="41"/>
      <c r="O451" s="41"/>
      <c r="P451" s="41"/>
      <c r="Q451" s="41"/>
      <c r="R451" s="41"/>
      <c r="S451" s="41"/>
      <c r="T451" s="41"/>
    </row>
    <row r="452" spans="1:20" x14ac:dyDescent="0.25">
      <c r="A452" s="593"/>
      <c r="B452" s="593"/>
      <c r="C452" s="593"/>
      <c r="D452" s="593"/>
      <c r="E452" s="593"/>
      <c r="F452" s="593"/>
      <c r="G452" s="593"/>
      <c r="H452" s="593"/>
      <c r="I452" s="593"/>
      <c r="J452" s="593"/>
      <c r="K452" s="41"/>
      <c r="L452" s="41"/>
      <c r="M452" s="41"/>
      <c r="N452" s="41"/>
      <c r="O452" s="41"/>
      <c r="P452" s="41"/>
      <c r="Q452" s="41"/>
      <c r="R452" s="41"/>
      <c r="S452" s="41"/>
      <c r="T452" s="41"/>
    </row>
    <row r="453" spans="1:20" x14ac:dyDescent="0.25">
      <c r="A453" s="152" t="s">
        <v>897</v>
      </c>
      <c r="B453" s="49"/>
      <c r="C453" s="154"/>
      <c r="D453" s="154"/>
      <c r="E453" s="154"/>
      <c r="F453" s="154"/>
      <c r="G453" s="154"/>
      <c r="H453" s="154"/>
      <c r="I453" s="154"/>
      <c r="J453" s="154"/>
      <c r="K453" s="41"/>
      <c r="L453" s="41"/>
      <c r="M453" s="41"/>
      <c r="N453" s="41"/>
      <c r="O453" s="41"/>
      <c r="P453" s="41"/>
      <c r="Q453" s="41"/>
      <c r="R453" s="41"/>
      <c r="S453" s="41"/>
      <c r="T453" s="41"/>
    </row>
    <row r="454" spans="1:20" x14ac:dyDescent="0.25">
      <c r="A454" s="45"/>
      <c r="B454" s="679" t="s">
        <v>895</v>
      </c>
      <c r="C454" s="679"/>
      <c r="D454" s="679"/>
      <c r="E454" s="679"/>
      <c r="F454" s="679"/>
      <c r="G454" s="679"/>
      <c r="H454" s="679"/>
      <c r="I454" s="45"/>
      <c r="J454" s="45"/>
      <c r="K454" s="41"/>
      <c r="L454" s="41"/>
      <c r="M454" s="41"/>
      <c r="N454" s="41"/>
      <c r="O454" s="41"/>
      <c r="P454" s="41"/>
      <c r="Q454" s="41"/>
      <c r="R454" s="41"/>
      <c r="S454" s="41"/>
      <c r="T454" s="41"/>
    </row>
    <row r="455" spans="1:20" x14ac:dyDescent="0.25">
      <c r="A455" s="56"/>
      <c r="B455" s="56"/>
      <c r="C455" s="56"/>
      <c r="D455" s="56"/>
      <c r="E455" s="56"/>
      <c r="F455" s="56"/>
      <c r="G455" s="56"/>
      <c r="H455" s="56"/>
      <c r="I455" s="56"/>
      <c r="J455" s="56"/>
      <c r="K455" s="41"/>
      <c r="L455" s="41"/>
      <c r="M455" s="41"/>
      <c r="N455" s="41"/>
      <c r="O455" s="41"/>
      <c r="P455" s="41"/>
      <c r="Q455" s="41"/>
      <c r="R455" s="41"/>
      <c r="S455" s="41"/>
      <c r="T455" s="41"/>
    </row>
    <row r="456" spans="1:20" x14ac:dyDescent="0.25">
      <c r="A456" s="680" t="s">
        <v>915</v>
      </c>
      <c r="B456" s="681"/>
      <c r="C456" s="681"/>
      <c r="D456" s="681"/>
      <c r="E456" s="681"/>
      <c r="F456" s="681"/>
      <c r="G456" s="681"/>
      <c r="H456" s="681"/>
      <c r="I456" s="682"/>
      <c r="J456" s="155"/>
      <c r="K456" s="41"/>
      <c r="L456" s="41"/>
      <c r="M456" s="41"/>
      <c r="N456" s="558"/>
      <c r="O456" s="559"/>
      <c r="P456" s="559"/>
      <c r="Q456" s="559"/>
      <c r="R456" s="559"/>
      <c r="S456" s="560"/>
      <c r="T456" s="41"/>
    </row>
    <row r="457" spans="1:20" ht="18.75" x14ac:dyDescent="0.25">
      <c r="A457" s="680"/>
      <c r="B457" s="681"/>
      <c r="C457" s="681"/>
      <c r="D457" s="681"/>
      <c r="E457" s="681"/>
      <c r="F457" s="681"/>
      <c r="G457" s="681"/>
      <c r="H457" s="681"/>
      <c r="I457" s="682"/>
      <c r="J457" s="156">
        <f>IF(CHECKING!$B$184=TRUE,10,0)</f>
        <v>0</v>
      </c>
      <c r="K457" s="41"/>
      <c r="L457" s="41"/>
      <c r="M457" s="41"/>
      <c r="N457" s="561"/>
      <c r="O457" s="562"/>
      <c r="P457" s="562"/>
      <c r="Q457" s="562"/>
      <c r="R457" s="562"/>
      <c r="S457" s="563"/>
      <c r="T457" s="41"/>
    </row>
    <row r="458" spans="1:20" x14ac:dyDescent="0.25">
      <c r="A458" s="683" t="s">
        <v>916</v>
      </c>
      <c r="B458" s="684"/>
      <c r="C458" s="684"/>
      <c r="D458" s="684"/>
      <c r="E458" s="684"/>
      <c r="F458" s="684"/>
      <c r="G458" s="684"/>
      <c r="H458" s="684"/>
      <c r="I458" s="685"/>
      <c r="J458" s="155"/>
      <c r="K458" s="41"/>
      <c r="L458" s="41"/>
      <c r="M458" s="41"/>
      <c r="N458" s="561"/>
      <c r="O458" s="562"/>
      <c r="P458" s="562"/>
      <c r="Q458" s="562"/>
      <c r="R458" s="562"/>
      <c r="S458" s="563"/>
      <c r="T458" s="41"/>
    </row>
    <row r="459" spans="1:20" ht="18.75" x14ac:dyDescent="0.25">
      <c r="A459" s="683"/>
      <c r="B459" s="684"/>
      <c r="C459" s="684"/>
      <c r="D459" s="684"/>
      <c r="E459" s="684"/>
      <c r="F459" s="684"/>
      <c r="G459" s="684"/>
      <c r="H459" s="684"/>
      <c r="I459" s="685"/>
      <c r="J459" s="156">
        <f>IF(CHECKING!$B$185=TRUE,10,0)</f>
        <v>0</v>
      </c>
      <c r="K459" s="41"/>
      <c r="L459" s="41"/>
      <c r="M459" s="41"/>
      <c r="N459" s="561"/>
      <c r="O459" s="562"/>
      <c r="P459" s="562"/>
      <c r="Q459" s="562"/>
      <c r="R459" s="562"/>
      <c r="S459" s="563"/>
      <c r="T459" s="41"/>
    </row>
    <row r="460" spans="1:20" x14ac:dyDescent="0.25">
      <c r="A460" s="683" t="s">
        <v>917</v>
      </c>
      <c r="B460" s="684"/>
      <c r="C460" s="684"/>
      <c r="D460" s="684"/>
      <c r="E460" s="684"/>
      <c r="F460" s="684"/>
      <c r="G460" s="684"/>
      <c r="H460" s="684"/>
      <c r="I460" s="685"/>
      <c r="J460" s="155"/>
      <c r="K460" s="41"/>
      <c r="L460" s="41"/>
      <c r="M460" s="41"/>
      <c r="N460" s="561"/>
      <c r="O460" s="562"/>
      <c r="P460" s="562"/>
      <c r="Q460" s="562"/>
      <c r="R460" s="562"/>
      <c r="S460" s="563"/>
      <c r="T460" s="41"/>
    </row>
    <row r="461" spans="1:20" x14ac:dyDescent="0.25">
      <c r="A461" s="683"/>
      <c r="B461" s="684"/>
      <c r="C461" s="684"/>
      <c r="D461" s="684"/>
      <c r="E461" s="684"/>
      <c r="F461" s="684"/>
      <c r="G461" s="684"/>
      <c r="H461" s="684"/>
      <c r="I461" s="685"/>
      <c r="J461" s="220"/>
      <c r="K461" s="41"/>
      <c r="L461" s="41"/>
      <c r="M461" s="41"/>
      <c r="N461" s="561"/>
      <c r="O461" s="562"/>
      <c r="P461" s="562"/>
      <c r="Q461" s="562"/>
      <c r="R461" s="562"/>
      <c r="S461" s="563"/>
      <c r="T461" s="41"/>
    </row>
    <row r="462" spans="1:20" ht="18.75" x14ac:dyDescent="0.25">
      <c r="A462" s="683"/>
      <c r="B462" s="684"/>
      <c r="C462" s="684"/>
      <c r="D462" s="684"/>
      <c r="E462" s="684"/>
      <c r="F462" s="684"/>
      <c r="G462" s="684"/>
      <c r="H462" s="684"/>
      <c r="I462" s="685"/>
      <c r="J462" s="156">
        <f>IF(CHECKING!$B$186=TRUE,10,0)</f>
        <v>0</v>
      </c>
      <c r="K462" s="41"/>
      <c r="L462" s="41"/>
      <c r="M462" s="41"/>
      <c r="N462" s="564"/>
      <c r="O462" s="565"/>
      <c r="P462" s="565"/>
      <c r="Q462" s="565"/>
      <c r="R462" s="565"/>
      <c r="S462" s="566"/>
      <c r="T462" s="41"/>
    </row>
    <row r="463" spans="1:20" x14ac:dyDescent="0.25">
      <c r="A463" s="56"/>
      <c r="B463" s="56"/>
      <c r="C463" s="56"/>
      <c r="D463" s="56"/>
      <c r="E463" s="56"/>
      <c r="F463" s="56"/>
      <c r="G463" s="56"/>
      <c r="H463" s="56"/>
      <c r="I463" s="56"/>
      <c r="J463" s="56"/>
      <c r="K463" s="41"/>
      <c r="L463" s="41"/>
      <c r="M463" s="41"/>
      <c r="N463" s="41"/>
      <c r="O463" s="41"/>
      <c r="P463" s="41"/>
      <c r="Q463" s="41"/>
      <c r="R463" s="41"/>
      <c r="S463" s="41"/>
      <c r="T463" s="41"/>
    </row>
    <row r="464" spans="1:20" x14ac:dyDescent="0.25">
      <c r="A464" s="469" t="s">
        <v>821</v>
      </c>
      <c r="B464" s="469"/>
      <c r="C464" s="469"/>
      <c r="D464" s="469"/>
      <c r="E464" s="469"/>
      <c r="F464" s="469"/>
      <c r="G464" s="469"/>
      <c r="H464" s="469"/>
      <c r="I464" s="469"/>
      <c r="J464" s="469"/>
      <c r="K464" s="41"/>
      <c r="L464" s="41"/>
      <c r="M464" s="41"/>
      <c r="N464" s="41"/>
      <c r="O464" s="41"/>
      <c r="P464" s="41"/>
      <c r="Q464" s="41"/>
      <c r="R464" s="41"/>
      <c r="S464" s="41"/>
      <c r="T464" s="41"/>
    </row>
    <row r="465" spans="1:20" x14ac:dyDescent="0.25">
      <c r="A465" s="147" t="s">
        <v>822</v>
      </c>
      <c r="B465" s="45"/>
      <c r="C465" s="45"/>
      <c r="D465" s="45"/>
      <c r="E465" s="45"/>
      <c r="F465" s="45"/>
      <c r="G465" s="45"/>
      <c r="H465" s="45"/>
      <c r="I465" s="45"/>
      <c r="J465" s="45"/>
      <c r="K465" s="41"/>
      <c r="L465" s="41"/>
      <c r="M465" s="41"/>
      <c r="N465" s="41"/>
      <c r="O465" s="41"/>
      <c r="P465" s="41"/>
      <c r="Q465" s="41"/>
      <c r="R465" s="41"/>
      <c r="S465" s="41"/>
      <c r="T465" s="41"/>
    </row>
    <row r="466" spans="1:20" x14ac:dyDescent="0.25">
      <c r="A466" s="45"/>
      <c r="B466" s="45"/>
      <c r="C466" s="45"/>
      <c r="D466" s="45"/>
      <c r="E466" s="45"/>
      <c r="F466" s="45"/>
      <c r="G466" s="45"/>
      <c r="H466" s="45"/>
      <c r="I466" s="45"/>
      <c r="J466" s="45"/>
      <c r="K466" s="41"/>
      <c r="L466" s="41"/>
      <c r="M466" s="41"/>
      <c r="N466" s="143"/>
      <c r="O466" s="143"/>
      <c r="P466" s="143"/>
      <c r="Q466" s="143"/>
      <c r="R466" s="143"/>
      <c r="S466" s="143"/>
      <c r="T466" s="41"/>
    </row>
    <row r="467" spans="1:20" ht="18.75" x14ac:dyDescent="0.25">
      <c r="A467" s="45"/>
      <c r="B467" s="601" t="s">
        <v>823</v>
      </c>
      <c r="C467" s="601"/>
      <c r="D467" s="601"/>
      <c r="E467" s="601"/>
      <c r="F467" s="601"/>
      <c r="G467" s="601"/>
      <c r="H467" s="601"/>
      <c r="I467" s="601"/>
      <c r="J467" s="148" t="str">
        <f>IF(CHECKING!$B$189=TRUE,10,"")</f>
        <v/>
      </c>
      <c r="K467" s="41"/>
      <c r="L467" s="41"/>
      <c r="M467" s="41"/>
      <c r="N467" s="558"/>
      <c r="O467" s="559"/>
      <c r="P467" s="559"/>
      <c r="Q467" s="559"/>
      <c r="R467" s="559"/>
      <c r="S467" s="560"/>
      <c r="T467" s="41"/>
    </row>
    <row r="468" spans="1:20" x14ac:dyDescent="0.25">
      <c r="A468" s="45"/>
      <c r="B468" s="600" t="s">
        <v>824</v>
      </c>
      <c r="C468" s="600"/>
      <c r="D468" s="600"/>
      <c r="E468" s="600"/>
      <c r="F468" s="600"/>
      <c r="G468" s="600"/>
      <c r="H468" s="600"/>
      <c r="I468" s="164"/>
      <c r="J468" s="45"/>
      <c r="K468" s="91"/>
      <c r="L468" s="91"/>
      <c r="M468" s="41"/>
      <c r="N468" s="561"/>
      <c r="O468" s="562"/>
      <c r="P468" s="562"/>
      <c r="Q468" s="562"/>
      <c r="R468" s="562"/>
      <c r="S468" s="563"/>
      <c r="T468" s="41"/>
    </row>
    <row r="469" spans="1:20" x14ac:dyDescent="0.25">
      <c r="A469" s="45"/>
      <c r="B469" s="45"/>
      <c r="C469" s="153"/>
      <c r="D469" s="153"/>
      <c r="E469" s="153"/>
      <c r="F469" s="153"/>
      <c r="G469" s="153"/>
      <c r="H469" s="153"/>
      <c r="I469" s="153"/>
      <c r="J469" s="45"/>
      <c r="K469" s="91"/>
      <c r="L469" s="91"/>
      <c r="M469" s="41"/>
      <c r="N469" s="561"/>
      <c r="O469" s="562"/>
      <c r="P469" s="562"/>
      <c r="Q469" s="562"/>
      <c r="R469" s="562"/>
      <c r="S469" s="563"/>
      <c r="T469" s="41"/>
    </row>
    <row r="470" spans="1:20" ht="18.75" customHeight="1" x14ac:dyDescent="0.25">
      <c r="A470" s="45"/>
      <c r="B470" s="498" t="s">
        <v>921</v>
      </c>
      <c r="C470" s="498"/>
      <c r="D470" s="498"/>
      <c r="E470" s="498"/>
      <c r="F470" s="498"/>
      <c r="G470" s="498"/>
      <c r="H470" s="498"/>
      <c r="I470" s="498"/>
      <c r="J470" s="148" t="str">
        <f>IF(CHECKING!$B$190=TRUE,10,"")</f>
        <v/>
      </c>
      <c r="K470" s="91"/>
      <c r="L470" s="91"/>
      <c r="M470" s="41"/>
      <c r="N470" s="561"/>
      <c r="O470" s="562"/>
      <c r="P470" s="562"/>
      <c r="Q470" s="562"/>
      <c r="R470" s="562"/>
      <c r="S470" s="563"/>
      <c r="T470" s="41"/>
    </row>
    <row r="471" spans="1:20" x14ac:dyDescent="0.25">
      <c r="A471" s="45"/>
      <c r="B471" s="498"/>
      <c r="C471" s="498"/>
      <c r="D471" s="498"/>
      <c r="E471" s="498"/>
      <c r="F471" s="498"/>
      <c r="G471" s="498"/>
      <c r="H471" s="498"/>
      <c r="I471" s="498"/>
      <c r="J471" s="45"/>
      <c r="K471" s="91"/>
      <c r="L471" s="91"/>
      <c r="M471" s="41"/>
      <c r="N471" s="561"/>
      <c r="O471" s="562"/>
      <c r="P471" s="562"/>
      <c r="Q471" s="562"/>
      <c r="R471" s="562"/>
      <c r="S471" s="563"/>
      <c r="T471" s="41"/>
    </row>
    <row r="472" spans="1:20" x14ac:dyDescent="0.25">
      <c r="A472" s="45"/>
      <c r="B472" s="498"/>
      <c r="C472" s="498"/>
      <c r="D472" s="498"/>
      <c r="E472" s="498"/>
      <c r="F472" s="498"/>
      <c r="G472" s="498"/>
      <c r="H472" s="498"/>
      <c r="I472" s="498"/>
      <c r="J472" s="45"/>
      <c r="K472" s="91"/>
      <c r="L472" s="91"/>
      <c r="M472" s="41"/>
      <c r="N472" s="561"/>
      <c r="O472" s="562"/>
      <c r="P472" s="562"/>
      <c r="Q472" s="562"/>
      <c r="R472" s="562"/>
      <c r="S472" s="563"/>
      <c r="T472" s="41"/>
    </row>
    <row r="473" spans="1:20" ht="18.75" customHeight="1" x14ac:dyDescent="0.25">
      <c r="A473" s="56"/>
      <c r="B473" s="498"/>
      <c r="C473" s="498"/>
      <c r="D473" s="498"/>
      <c r="E473" s="498"/>
      <c r="F473" s="498"/>
      <c r="G473" s="498"/>
      <c r="H473" s="498"/>
      <c r="I473" s="498"/>
      <c r="J473" s="56"/>
      <c r="K473" s="91"/>
      <c r="L473" s="91"/>
      <c r="M473" s="41"/>
      <c r="N473" s="561"/>
      <c r="O473" s="562"/>
      <c r="P473" s="562"/>
      <c r="Q473" s="562"/>
      <c r="R473" s="562"/>
      <c r="S473" s="563"/>
      <c r="T473" s="41"/>
    </row>
    <row r="474" spans="1:20" ht="18.75" customHeight="1" x14ac:dyDescent="0.25">
      <c r="A474" s="56"/>
      <c r="B474" s="600" t="s">
        <v>833</v>
      </c>
      <c r="C474" s="600"/>
      <c r="D474" s="600"/>
      <c r="E474" s="600"/>
      <c r="F474" s="600"/>
      <c r="G474" s="600"/>
      <c r="H474" s="600"/>
      <c r="I474" s="56"/>
      <c r="J474" s="56"/>
      <c r="K474" s="91"/>
      <c r="L474" s="91"/>
      <c r="M474" s="41"/>
      <c r="N474" s="561"/>
      <c r="O474" s="562"/>
      <c r="P474" s="562"/>
      <c r="Q474" s="562"/>
      <c r="R474" s="562"/>
      <c r="S474" s="563"/>
      <c r="T474" s="41"/>
    </row>
    <row r="475" spans="1:20" x14ac:dyDescent="0.25">
      <c r="A475" s="56"/>
      <c r="B475" s="56"/>
      <c r="C475" s="56"/>
      <c r="D475" s="56"/>
      <c r="E475" s="56"/>
      <c r="F475" s="56"/>
      <c r="G475" s="56"/>
      <c r="H475" s="56"/>
      <c r="I475" s="56"/>
      <c r="J475" s="56"/>
      <c r="K475" s="91"/>
      <c r="L475" s="91"/>
      <c r="M475" s="41"/>
      <c r="N475" s="561"/>
      <c r="O475" s="562"/>
      <c r="P475" s="562"/>
      <c r="Q475" s="562"/>
      <c r="R475" s="562"/>
      <c r="S475" s="563"/>
      <c r="T475" s="41"/>
    </row>
    <row r="476" spans="1:20" ht="18.75" x14ac:dyDescent="0.25">
      <c r="A476" s="60"/>
      <c r="B476" s="678" t="s">
        <v>1125</v>
      </c>
      <c r="C476" s="678"/>
      <c r="D476" s="678"/>
      <c r="E476" s="678"/>
      <c r="F476" s="678"/>
      <c r="G476" s="678"/>
      <c r="H476" s="678"/>
      <c r="I476" s="678"/>
      <c r="J476" s="148" t="str">
        <f>IF(CHECKING!$B$191=TRUE,10,"")</f>
        <v/>
      </c>
      <c r="K476" s="41"/>
      <c r="L476" s="41"/>
      <c r="M476" s="41"/>
      <c r="N476" s="561"/>
      <c r="O476" s="562"/>
      <c r="P476" s="562"/>
      <c r="Q476" s="562"/>
      <c r="R476" s="562"/>
      <c r="S476" s="563"/>
      <c r="T476" s="41"/>
    </row>
    <row r="477" spans="1:20" x14ac:dyDescent="0.25">
      <c r="A477" s="60"/>
      <c r="B477" s="678"/>
      <c r="C477" s="678"/>
      <c r="D477" s="678"/>
      <c r="E477" s="678"/>
      <c r="F477" s="678"/>
      <c r="G477" s="678"/>
      <c r="H477" s="678"/>
      <c r="I477" s="678"/>
      <c r="J477" s="60"/>
      <c r="K477" s="41"/>
      <c r="L477" s="41"/>
      <c r="M477" s="41"/>
      <c r="N477" s="561"/>
      <c r="O477" s="562"/>
      <c r="P477" s="562"/>
      <c r="Q477" s="562"/>
      <c r="R477" s="562"/>
      <c r="S477" s="563"/>
      <c r="T477" s="41"/>
    </row>
    <row r="478" spans="1:20" x14ac:dyDescent="0.25">
      <c r="A478" s="60"/>
      <c r="B478" s="600" t="s">
        <v>825</v>
      </c>
      <c r="C478" s="600"/>
      <c r="D478" s="600"/>
      <c r="E478" s="600"/>
      <c r="F478" s="600"/>
      <c r="G478" s="600"/>
      <c r="H478" s="600"/>
      <c r="I478" s="164"/>
      <c r="J478" s="60"/>
      <c r="K478" s="41"/>
      <c r="L478" s="41"/>
      <c r="M478" s="41"/>
      <c r="N478" s="564"/>
      <c r="O478" s="565"/>
      <c r="P478" s="565"/>
      <c r="Q478" s="565"/>
      <c r="R478" s="565"/>
      <c r="S478" s="566"/>
      <c r="T478" s="41"/>
    </row>
    <row r="479" spans="1:20" x14ac:dyDescent="0.25">
      <c r="A479" s="283"/>
      <c r="B479" s="283"/>
      <c r="C479" s="283"/>
      <c r="D479" s="283"/>
      <c r="E479" s="283"/>
      <c r="F479" s="283"/>
      <c r="G479" s="283"/>
      <c r="H479" s="283"/>
      <c r="I479" s="283"/>
      <c r="J479" s="283"/>
      <c r="K479" s="280"/>
      <c r="L479" s="280"/>
      <c r="M479" s="280"/>
      <c r="N479" s="280"/>
      <c r="O479" s="280"/>
      <c r="P479" s="280"/>
      <c r="Q479" s="280"/>
      <c r="R479" s="280"/>
      <c r="S479" s="280"/>
      <c r="T479" s="280"/>
    </row>
    <row r="480" spans="1:20" ht="18.75" x14ac:dyDescent="0.25">
      <c r="A480" s="100"/>
      <c r="B480" s="498" t="s">
        <v>826</v>
      </c>
      <c r="C480" s="498"/>
      <c r="D480" s="498"/>
      <c r="E480" s="498"/>
      <c r="F480" s="498"/>
      <c r="G480" s="498"/>
      <c r="H480" s="498"/>
      <c r="I480" s="498"/>
      <c r="J480" s="148" t="str">
        <f>IF(CHECKING!$B$192=TRUE,10,"")</f>
        <v/>
      </c>
      <c r="K480" s="41"/>
      <c r="L480" s="41"/>
      <c r="M480" s="41"/>
      <c r="N480" s="558"/>
      <c r="O480" s="559"/>
      <c r="P480" s="559"/>
      <c r="Q480" s="559"/>
      <c r="R480" s="559"/>
      <c r="S480" s="560"/>
      <c r="T480" s="41"/>
    </row>
    <row r="481" spans="1:20" x14ac:dyDescent="0.25">
      <c r="A481" s="100"/>
      <c r="B481" s="498"/>
      <c r="C481" s="498"/>
      <c r="D481" s="498"/>
      <c r="E481" s="498"/>
      <c r="F481" s="498"/>
      <c r="G481" s="498"/>
      <c r="H481" s="498"/>
      <c r="I481" s="498"/>
      <c r="J481" s="100"/>
      <c r="K481" s="41"/>
      <c r="L481" s="41"/>
      <c r="M481" s="41"/>
      <c r="N481" s="561"/>
      <c r="O481" s="562"/>
      <c r="P481" s="562"/>
      <c r="Q481" s="562"/>
      <c r="R481" s="562"/>
      <c r="S481" s="563"/>
      <c r="T481" s="41"/>
    </row>
    <row r="482" spans="1:20" x14ac:dyDescent="0.25">
      <c r="A482" s="100"/>
      <c r="B482" s="498"/>
      <c r="C482" s="498"/>
      <c r="D482" s="498"/>
      <c r="E482" s="498"/>
      <c r="F482" s="498"/>
      <c r="G482" s="498"/>
      <c r="H482" s="498"/>
      <c r="I482" s="498"/>
      <c r="J482" s="100"/>
      <c r="K482" s="41"/>
      <c r="L482" s="41"/>
      <c r="M482" s="41"/>
      <c r="N482" s="561"/>
      <c r="O482" s="562"/>
      <c r="P482" s="562"/>
      <c r="Q482" s="562"/>
      <c r="R482" s="562"/>
      <c r="S482" s="563"/>
      <c r="T482" s="41"/>
    </row>
    <row r="483" spans="1:20" x14ac:dyDescent="0.25">
      <c r="A483" s="100"/>
      <c r="B483" s="498"/>
      <c r="C483" s="498"/>
      <c r="D483" s="498"/>
      <c r="E483" s="498"/>
      <c r="F483" s="498"/>
      <c r="G483" s="498"/>
      <c r="H483" s="498"/>
      <c r="I483" s="498"/>
      <c r="J483" s="100"/>
      <c r="K483" s="41"/>
      <c r="L483" s="41"/>
      <c r="M483" s="41"/>
      <c r="N483" s="561"/>
      <c r="O483" s="562"/>
      <c r="P483" s="562"/>
      <c r="Q483" s="562"/>
      <c r="R483" s="562"/>
      <c r="S483" s="563"/>
      <c r="T483" s="41"/>
    </row>
    <row r="484" spans="1:20" x14ac:dyDescent="0.25">
      <c r="A484" s="100"/>
      <c r="B484" s="498"/>
      <c r="C484" s="498"/>
      <c r="D484" s="498"/>
      <c r="E484" s="498"/>
      <c r="F484" s="498"/>
      <c r="G484" s="498"/>
      <c r="H484" s="498"/>
      <c r="I484" s="498"/>
      <c r="J484" s="100"/>
      <c r="K484" s="41"/>
      <c r="L484" s="41"/>
      <c r="M484" s="41"/>
      <c r="N484" s="564"/>
      <c r="O484" s="565"/>
      <c r="P484" s="565"/>
      <c r="Q484" s="565"/>
      <c r="R484" s="565"/>
      <c r="S484" s="566"/>
      <c r="T484" s="41"/>
    </row>
    <row r="485" spans="1:20" x14ac:dyDescent="0.25">
      <c r="A485" s="100"/>
      <c r="B485" s="600" t="s">
        <v>827</v>
      </c>
      <c r="C485" s="600"/>
      <c r="D485" s="600"/>
      <c r="E485" s="600"/>
      <c r="F485" s="600"/>
      <c r="G485" s="600"/>
      <c r="H485" s="600"/>
      <c r="I485" s="163"/>
      <c r="J485" s="100"/>
      <c r="K485" s="41"/>
      <c r="L485" s="41"/>
      <c r="M485" s="41"/>
      <c r="N485" s="70"/>
      <c r="O485" s="70"/>
      <c r="P485" s="70"/>
      <c r="Q485" s="70"/>
      <c r="R485" s="70"/>
      <c r="S485" s="70"/>
      <c r="T485" s="41"/>
    </row>
    <row r="486" spans="1:20" x14ac:dyDescent="0.25">
      <c r="A486" s="56"/>
      <c r="B486" s="56"/>
      <c r="C486" s="56"/>
      <c r="D486" s="56"/>
      <c r="E486" s="56"/>
      <c r="F486" s="56"/>
      <c r="G486" s="56"/>
      <c r="H486" s="56"/>
      <c r="I486" s="56"/>
      <c r="J486" s="56"/>
      <c r="K486" s="41"/>
      <c r="L486" s="41"/>
      <c r="M486" s="41"/>
      <c r="N486" s="70"/>
      <c r="O486" s="70"/>
      <c r="P486" s="70"/>
      <c r="Q486" s="70"/>
      <c r="R486" s="70"/>
      <c r="S486" s="70"/>
      <c r="T486" s="41"/>
    </row>
    <row r="487" spans="1:20" ht="15" customHeight="1" x14ac:dyDescent="0.25">
      <c r="A487" s="56"/>
      <c r="B487" s="686" t="s">
        <v>945</v>
      </c>
      <c r="C487" s="686"/>
      <c r="D487" s="686"/>
      <c r="E487" s="686"/>
      <c r="F487" s="686"/>
      <c r="G487" s="686"/>
      <c r="H487" s="686"/>
      <c r="I487" s="686"/>
      <c r="J487" s="148" t="str">
        <f>IF(CHECKING!$B$193=TRUE,10,"")</f>
        <v/>
      </c>
      <c r="K487" s="41"/>
      <c r="L487" s="41"/>
      <c r="M487" s="41"/>
      <c r="N487" s="558"/>
      <c r="O487" s="559"/>
      <c r="P487" s="559"/>
      <c r="Q487" s="559"/>
      <c r="R487" s="559"/>
      <c r="S487" s="560"/>
      <c r="T487" s="41"/>
    </row>
    <row r="488" spans="1:20" x14ac:dyDescent="0.25">
      <c r="A488" s="56"/>
      <c r="B488" s="686"/>
      <c r="C488" s="686"/>
      <c r="D488" s="686"/>
      <c r="E488" s="686"/>
      <c r="F488" s="686"/>
      <c r="G488" s="686"/>
      <c r="H488" s="686"/>
      <c r="I488" s="686"/>
      <c r="J488" s="56"/>
      <c r="K488" s="41"/>
      <c r="L488" s="41"/>
      <c r="M488" s="41"/>
      <c r="N488" s="561"/>
      <c r="O488" s="562"/>
      <c r="P488" s="562"/>
      <c r="Q488" s="562"/>
      <c r="R488" s="562"/>
      <c r="S488" s="563"/>
      <c r="T488" s="41"/>
    </row>
    <row r="489" spans="1:20" x14ac:dyDescent="0.25">
      <c r="A489" s="56"/>
      <c r="B489" s="686"/>
      <c r="C489" s="686"/>
      <c r="D489" s="686"/>
      <c r="E489" s="686"/>
      <c r="F489" s="686"/>
      <c r="G489" s="686"/>
      <c r="H489" s="686"/>
      <c r="I489" s="686"/>
      <c r="J489" s="56"/>
      <c r="K489" s="41"/>
      <c r="L489" s="41"/>
      <c r="M489" s="41"/>
      <c r="N489" s="561"/>
      <c r="O489" s="562"/>
      <c r="P489" s="562"/>
      <c r="Q489" s="562"/>
      <c r="R489" s="562"/>
      <c r="S489" s="563"/>
      <c r="T489" s="41"/>
    </row>
    <row r="490" spans="1:20" x14ac:dyDescent="0.25">
      <c r="A490" s="56"/>
      <c r="B490" s="686"/>
      <c r="C490" s="686"/>
      <c r="D490" s="686"/>
      <c r="E490" s="686"/>
      <c r="F490" s="686"/>
      <c r="G490" s="686"/>
      <c r="H490" s="686"/>
      <c r="I490" s="686"/>
      <c r="J490" s="56"/>
      <c r="K490" s="41"/>
      <c r="L490" s="41"/>
      <c r="M490" s="41"/>
      <c r="N490" s="561"/>
      <c r="O490" s="562"/>
      <c r="P490" s="562"/>
      <c r="Q490" s="562"/>
      <c r="R490" s="562"/>
      <c r="S490" s="563"/>
      <c r="T490" s="41"/>
    </row>
    <row r="491" spans="1:20" x14ac:dyDescent="0.25">
      <c r="A491" s="56"/>
      <c r="B491" s="686"/>
      <c r="C491" s="686"/>
      <c r="D491" s="686"/>
      <c r="E491" s="686"/>
      <c r="F491" s="686"/>
      <c r="G491" s="686"/>
      <c r="H491" s="686"/>
      <c r="I491" s="686"/>
      <c r="J491" s="56"/>
      <c r="K491" s="41"/>
      <c r="L491" s="41"/>
      <c r="M491" s="41"/>
      <c r="N491" s="561"/>
      <c r="O491" s="562"/>
      <c r="P491" s="562"/>
      <c r="Q491" s="562"/>
      <c r="R491" s="562"/>
      <c r="S491" s="563"/>
      <c r="T491" s="41"/>
    </row>
    <row r="492" spans="1:20" x14ac:dyDescent="0.25">
      <c r="A492" s="56"/>
      <c r="B492" s="686"/>
      <c r="C492" s="686"/>
      <c r="D492" s="686"/>
      <c r="E492" s="686"/>
      <c r="F492" s="686"/>
      <c r="G492" s="686"/>
      <c r="H492" s="686"/>
      <c r="I492" s="686"/>
      <c r="J492" s="56"/>
      <c r="K492" s="41"/>
      <c r="L492" s="41"/>
      <c r="M492" s="41"/>
      <c r="N492" s="561"/>
      <c r="O492" s="562"/>
      <c r="P492" s="562"/>
      <c r="Q492" s="562"/>
      <c r="R492" s="562"/>
      <c r="S492" s="563"/>
      <c r="T492" s="41"/>
    </row>
    <row r="493" spans="1:20" x14ac:dyDescent="0.25">
      <c r="A493" s="56"/>
      <c r="B493" s="686"/>
      <c r="C493" s="686"/>
      <c r="D493" s="686"/>
      <c r="E493" s="686"/>
      <c r="F493" s="686"/>
      <c r="G493" s="686"/>
      <c r="H493" s="686"/>
      <c r="I493" s="686"/>
      <c r="J493" s="56"/>
      <c r="K493" s="41"/>
      <c r="L493" s="41"/>
      <c r="M493" s="41"/>
      <c r="N493" s="561"/>
      <c r="O493" s="562"/>
      <c r="P493" s="562"/>
      <c r="Q493" s="562"/>
      <c r="R493" s="562"/>
      <c r="S493" s="563"/>
      <c r="T493" s="41"/>
    </row>
    <row r="494" spans="1:20" ht="24.75" customHeight="1" thickBot="1" x14ac:dyDescent="0.3">
      <c r="A494" s="56"/>
      <c r="B494" s="418" t="s">
        <v>1102</v>
      </c>
      <c r="C494" s="56"/>
      <c r="D494" s="56"/>
      <c r="E494" s="56"/>
      <c r="F494" s="56"/>
      <c r="G494" s="56"/>
      <c r="H494" s="56"/>
      <c r="I494" s="56"/>
      <c r="J494" s="56"/>
      <c r="K494" s="41"/>
      <c r="L494" s="41"/>
      <c r="M494" s="41"/>
      <c r="N494" s="561"/>
      <c r="O494" s="562"/>
      <c r="P494" s="562"/>
      <c r="Q494" s="562"/>
      <c r="R494" s="562"/>
      <c r="S494" s="563"/>
      <c r="T494" s="41"/>
    </row>
    <row r="495" spans="1:20" ht="15" customHeight="1" x14ac:dyDescent="0.25">
      <c r="A495" s="56"/>
      <c r="B495" s="817" t="s">
        <v>946</v>
      </c>
      <c r="C495" s="818"/>
      <c r="D495" s="818"/>
      <c r="E495" s="818"/>
      <c r="F495" s="818"/>
      <c r="G495" s="818"/>
      <c r="H495" s="818"/>
      <c r="I495" s="819"/>
      <c r="J495" s="56"/>
      <c r="K495" s="41"/>
      <c r="L495" s="41"/>
      <c r="M495" s="41"/>
      <c r="N495" s="561"/>
      <c r="O495" s="562"/>
      <c r="P495" s="562"/>
      <c r="Q495" s="562"/>
      <c r="R495" s="562"/>
      <c r="S495" s="563"/>
      <c r="T495" s="41"/>
    </row>
    <row r="496" spans="1:20" x14ac:dyDescent="0.25">
      <c r="A496" s="56"/>
      <c r="B496" s="820"/>
      <c r="C496" s="821"/>
      <c r="D496" s="821"/>
      <c r="E496" s="821"/>
      <c r="F496" s="821"/>
      <c r="G496" s="821"/>
      <c r="H496" s="821"/>
      <c r="I496" s="822"/>
      <c r="J496" s="56"/>
      <c r="K496" s="41"/>
      <c r="L496" s="41"/>
      <c r="M496" s="41"/>
      <c r="N496" s="561"/>
      <c r="O496" s="562"/>
      <c r="P496" s="562"/>
      <c r="Q496" s="562"/>
      <c r="R496" s="562"/>
      <c r="S496" s="563"/>
      <c r="T496" s="41"/>
    </row>
    <row r="497" spans="1:20" x14ac:dyDescent="0.25">
      <c r="A497" s="56"/>
      <c r="B497" s="820"/>
      <c r="C497" s="821"/>
      <c r="D497" s="821"/>
      <c r="E497" s="821"/>
      <c r="F497" s="821"/>
      <c r="G497" s="821"/>
      <c r="H497" s="821"/>
      <c r="I497" s="822"/>
      <c r="J497" s="56"/>
      <c r="K497" s="41"/>
      <c r="L497" s="41"/>
      <c r="M497" s="41"/>
      <c r="N497" s="561"/>
      <c r="O497" s="562"/>
      <c r="P497" s="562"/>
      <c r="Q497" s="562"/>
      <c r="R497" s="562"/>
      <c r="S497" s="563"/>
      <c r="T497" s="41"/>
    </row>
    <row r="498" spans="1:20" x14ac:dyDescent="0.25">
      <c r="A498" s="56"/>
      <c r="B498" s="820"/>
      <c r="C498" s="821"/>
      <c r="D498" s="821"/>
      <c r="E498" s="821"/>
      <c r="F498" s="821"/>
      <c r="G498" s="821"/>
      <c r="H498" s="821"/>
      <c r="I498" s="822"/>
      <c r="J498" s="56"/>
      <c r="K498" s="41"/>
      <c r="L498" s="41"/>
      <c r="M498" s="41"/>
      <c r="N498" s="561"/>
      <c r="O498" s="562"/>
      <c r="P498" s="562"/>
      <c r="Q498" s="562"/>
      <c r="R498" s="562"/>
      <c r="S498" s="563"/>
      <c r="T498" s="41"/>
    </row>
    <row r="499" spans="1:20" x14ac:dyDescent="0.25">
      <c r="A499" s="56"/>
      <c r="B499" s="820"/>
      <c r="C499" s="821"/>
      <c r="D499" s="821"/>
      <c r="E499" s="821"/>
      <c r="F499" s="821"/>
      <c r="G499" s="821"/>
      <c r="H499" s="821"/>
      <c r="I499" s="822"/>
      <c r="J499" s="56"/>
      <c r="K499" s="41"/>
      <c r="L499" s="41"/>
      <c r="M499" s="41"/>
      <c r="N499" s="561"/>
      <c r="O499" s="562"/>
      <c r="P499" s="562"/>
      <c r="Q499" s="562"/>
      <c r="R499" s="562"/>
      <c r="S499" s="563"/>
      <c r="T499" s="41"/>
    </row>
    <row r="500" spans="1:20" x14ac:dyDescent="0.25">
      <c r="A500" s="56"/>
      <c r="B500" s="820"/>
      <c r="C500" s="821"/>
      <c r="D500" s="821"/>
      <c r="E500" s="821"/>
      <c r="F500" s="821"/>
      <c r="G500" s="821"/>
      <c r="H500" s="821"/>
      <c r="I500" s="822"/>
      <c r="J500" s="56"/>
      <c r="K500" s="41"/>
      <c r="L500" s="41"/>
      <c r="M500" s="41"/>
      <c r="N500" s="561"/>
      <c r="O500" s="562"/>
      <c r="P500" s="562"/>
      <c r="Q500" s="562"/>
      <c r="R500" s="562"/>
      <c r="S500" s="563"/>
      <c r="T500" s="41"/>
    </row>
    <row r="501" spans="1:20" x14ac:dyDescent="0.25">
      <c r="A501" s="56"/>
      <c r="B501" s="820"/>
      <c r="C501" s="821"/>
      <c r="D501" s="821"/>
      <c r="E501" s="821"/>
      <c r="F501" s="821"/>
      <c r="G501" s="821"/>
      <c r="H501" s="821"/>
      <c r="I501" s="822"/>
      <c r="J501" s="56"/>
      <c r="K501" s="41"/>
      <c r="L501" s="41"/>
      <c r="M501" s="41"/>
      <c r="N501" s="564"/>
      <c r="O501" s="565"/>
      <c r="P501" s="565"/>
      <c r="Q501" s="565"/>
      <c r="R501" s="565"/>
      <c r="S501" s="566"/>
      <c r="T501" s="41"/>
    </row>
    <row r="502" spans="1:20" ht="15.75" thickBot="1" x14ac:dyDescent="0.3">
      <c r="A502" s="56"/>
      <c r="B502" s="823"/>
      <c r="C502" s="824"/>
      <c r="D502" s="824"/>
      <c r="E502" s="824"/>
      <c r="F502" s="824"/>
      <c r="G502" s="824"/>
      <c r="H502" s="824"/>
      <c r="I502" s="825"/>
      <c r="J502" s="56"/>
      <c r="K502" s="41"/>
      <c r="L502" s="41"/>
      <c r="M502" s="41"/>
      <c r="N502" s="70"/>
      <c r="O502" s="70"/>
      <c r="P502" s="70"/>
      <c r="Q502" s="70"/>
      <c r="R502" s="70"/>
      <c r="S502" s="70"/>
      <c r="T502" s="41"/>
    </row>
    <row r="503" spans="1:20" x14ac:dyDescent="0.25">
      <c r="A503" s="56"/>
      <c r="B503" s="56"/>
      <c r="C503" s="56"/>
      <c r="D503" s="56"/>
      <c r="E503" s="56"/>
      <c r="F503" s="56"/>
      <c r="G503" s="56"/>
      <c r="H503" s="56"/>
      <c r="I503" s="56"/>
      <c r="J503" s="56"/>
      <c r="K503" s="41"/>
      <c r="L503" s="41"/>
      <c r="M503" s="41"/>
      <c r="N503" s="41"/>
      <c r="O503" s="41"/>
      <c r="P503" s="41"/>
      <c r="Q503" s="41"/>
      <c r="R503" s="41"/>
      <c r="S503" s="41"/>
      <c r="T503" s="41"/>
    </row>
    <row r="504" spans="1:20" ht="15" customHeight="1" x14ac:dyDescent="0.25">
      <c r="A504" s="56"/>
      <c r="B504" s="499" t="s">
        <v>888</v>
      </c>
      <c r="C504" s="499"/>
      <c r="D504" s="499"/>
      <c r="E504" s="499"/>
      <c r="F504" s="499"/>
      <c r="G504" s="499"/>
      <c r="H504" s="499"/>
      <c r="I504" s="499"/>
      <c r="J504" s="148" t="str">
        <f>IF(CHECKING!$B$197=TRUE,10,"")</f>
        <v/>
      </c>
      <c r="K504" s="41"/>
      <c r="L504" s="41"/>
      <c r="M504" s="41"/>
      <c r="N504" s="558"/>
      <c r="O504" s="559"/>
      <c r="P504" s="559"/>
      <c r="Q504" s="559"/>
      <c r="R504" s="559"/>
      <c r="S504" s="560"/>
      <c r="T504" s="41"/>
    </row>
    <row r="505" spans="1:20" x14ac:dyDescent="0.25">
      <c r="A505" s="56"/>
      <c r="B505" s="499"/>
      <c r="C505" s="499"/>
      <c r="D505" s="499"/>
      <c r="E505" s="499"/>
      <c r="F505" s="499"/>
      <c r="G505" s="499"/>
      <c r="H505" s="499"/>
      <c r="I505" s="499"/>
      <c r="J505" s="56"/>
      <c r="K505" s="41"/>
      <c r="L505" s="41"/>
      <c r="M505" s="41"/>
      <c r="N505" s="561"/>
      <c r="O505" s="562"/>
      <c r="P505" s="562"/>
      <c r="Q505" s="562"/>
      <c r="R505" s="562"/>
      <c r="S505" s="563"/>
      <c r="T505" s="41"/>
    </row>
    <row r="506" spans="1:20" x14ac:dyDescent="0.25">
      <c r="A506" s="56"/>
      <c r="B506" s="499"/>
      <c r="C506" s="499"/>
      <c r="D506" s="499"/>
      <c r="E506" s="499"/>
      <c r="F506" s="499"/>
      <c r="G506" s="499"/>
      <c r="H506" s="499"/>
      <c r="I506" s="499"/>
      <c r="J506" s="56"/>
      <c r="K506" s="41"/>
      <c r="L506" s="41"/>
      <c r="M506" s="41"/>
      <c r="N506" s="564"/>
      <c r="O506" s="565"/>
      <c r="P506" s="565"/>
      <c r="Q506" s="565"/>
      <c r="R506" s="565"/>
      <c r="S506" s="566"/>
      <c r="T506" s="41"/>
    </row>
    <row r="507" spans="1:20" x14ac:dyDescent="0.25">
      <c r="A507" s="56"/>
      <c r="B507" s="56"/>
      <c r="C507" s="56"/>
      <c r="D507" s="56"/>
      <c r="E507" s="56"/>
      <c r="F507" s="56"/>
      <c r="G507" s="56"/>
      <c r="H507" s="56"/>
      <c r="I507" s="56"/>
      <c r="J507" s="56"/>
      <c r="K507" s="41"/>
      <c r="L507" s="41"/>
      <c r="M507" s="41"/>
      <c r="N507" s="70"/>
      <c r="O507" s="70"/>
      <c r="P507" s="70"/>
      <c r="Q507" s="70"/>
      <c r="R507" s="70"/>
      <c r="S507" s="70"/>
      <c r="T507" s="41"/>
    </row>
    <row r="508" spans="1:20" ht="15" customHeight="1" x14ac:dyDescent="0.25">
      <c r="A508" s="56"/>
      <c r="B508" s="686" t="s">
        <v>1020</v>
      </c>
      <c r="C508" s="686"/>
      <c r="D508" s="686"/>
      <c r="E508" s="686"/>
      <c r="F508" s="686"/>
      <c r="G508" s="686"/>
      <c r="H508" s="686"/>
      <c r="I508" s="686"/>
      <c r="J508" s="151" t="str">
        <f>IF(CHECKING!$B$198=TRUE,10,"")</f>
        <v/>
      </c>
      <c r="K508" s="41"/>
      <c r="L508" s="41"/>
      <c r="M508" s="41"/>
      <c r="N508" s="558"/>
      <c r="O508" s="559"/>
      <c r="P508" s="559"/>
      <c r="Q508" s="559"/>
      <c r="R508" s="559"/>
      <c r="S508" s="560"/>
      <c r="T508" s="41"/>
    </row>
    <row r="509" spans="1:20" x14ac:dyDescent="0.25">
      <c r="A509" s="56"/>
      <c r="B509" s="686"/>
      <c r="C509" s="686"/>
      <c r="D509" s="686"/>
      <c r="E509" s="686"/>
      <c r="F509" s="686"/>
      <c r="G509" s="686"/>
      <c r="H509" s="686"/>
      <c r="I509" s="686"/>
      <c r="J509" s="56"/>
      <c r="K509" s="41"/>
      <c r="L509" s="41"/>
      <c r="M509" s="41"/>
      <c r="N509" s="564"/>
      <c r="O509" s="565"/>
      <c r="P509" s="565"/>
      <c r="Q509" s="565"/>
      <c r="R509" s="565"/>
      <c r="S509" s="566"/>
      <c r="T509" s="41"/>
    </row>
    <row r="510" spans="1:20" s="269" customFormat="1" x14ac:dyDescent="0.25">
      <c r="A510" s="56"/>
      <c r="B510" s="363"/>
      <c r="C510" s="363"/>
      <c r="D510" s="363"/>
      <c r="E510" s="363"/>
      <c r="F510" s="363"/>
      <c r="G510" s="363"/>
      <c r="H510" s="363"/>
      <c r="I510" s="363"/>
      <c r="J510" s="56"/>
      <c r="K510" s="41"/>
      <c r="L510" s="41"/>
      <c r="M510" s="41"/>
      <c r="N510" s="361"/>
      <c r="O510" s="361"/>
      <c r="P510" s="361"/>
      <c r="Q510" s="361"/>
      <c r="R510" s="361"/>
      <c r="S510" s="361"/>
      <c r="T510" s="41"/>
    </row>
    <row r="511" spans="1:20" s="269" customFormat="1" ht="18.75" x14ac:dyDescent="0.25">
      <c r="A511" s="56"/>
      <c r="B511" s="686" t="s">
        <v>1021</v>
      </c>
      <c r="C511" s="686"/>
      <c r="D511" s="686"/>
      <c r="E511" s="686"/>
      <c r="F511" s="686"/>
      <c r="G511" s="686"/>
      <c r="H511" s="686"/>
      <c r="I511" s="686"/>
      <c r="J511" s="362" t="str">
        <f>IF(CHECKING!$B$199=TRUE,10,"")</f>
        <v/>
      </c>
      <c r="K511" s="41"/>
      <c r="L511" s="41"/>
      <c r="M511" s="41"/>
      <c r="N511" s="558"/>
      <c r="O511" s="559"/>
      <c r="P511" s="559"/>
      <c r="Q511" s="559"/>
      <c r="R511" s="559"/>
      <c r="S511" s="560"/>
      <c r="T511" s="41"/>
    </row>
    <row r="512" spans="1:20" s="269" customFormat="1" x14ac:dyDescent="0.25">
      <c r="A512" s="56"/>
      <c r="B512" s="686"/>
      <c r="C512" s="686"/>
      <c r="D512" s="686"/>
      <c r="E512" s="686"/>
      <c r="F512" s="686"/>
      <c r="G512" s="686"/>
      <c r="H512" s="686"/>
      <c r="I512" s="686"/>
      <c r="J512" s="56"/>
      <c r="K512" s="41"/>
      <c r="L512" s="41"/>
      <c r="M512" s="41"/>
      <c r="N512" s="564"/>
      <c r="O512" s="565"/>
      <c r="P512" s="565"/>
      <c r="Q512" s="565"/>
      <c r="R512" s="565"/>
      <c r="S512" s="566"/>
      <c r="T512" s="41"/>
    </row>
    <row r="513" spans="1:20" ht="14.25" customHeight="1" x14ac:dyDescent="0.25">
      <c r="A513" s="56"/>
      <c r="B513" s="56"/>
      <c r="C513" s="56"/>
      <c r="D513" s="56"/>
      <c r="E513" s="56"/>
      <c r="F513" s="56"/>
      <c r="G513" s="56"/>
      <c r="H513" s="56"/>
      <c r="I513" s="56"/>
      <c r="J513" s="56"/>
      <c r="K513" s="41"/>
      <c r="L513" s="41"/>
      <c r="M513" s="41"/>
      <c r="N513" s="70"/>
      <c r="O513" s="70"/>
      <c r="P513" s="70"/>
      <c r="Q513" s="70"/>
      <c r="R513" s="70"/>
      <c r="S513" s="70"/>
      <c r="T513" s="41"/>
    </row>
    <row r="514" spans="1:20" ht="15" customHeight="1" x14ac:dyDescent="0.25">
      <c r="A514" s="56"/>
      <c r="B514" s="498" t="s">
        <v>1105</v>
      </c>
      <c r="C514" s="498"/>
      <c r="D514" s="498"/>
      <c r="E514" s="498"/>
      <c r="F514" s="498"/>
      <c r="G514" s="498"/>
      <c r="H514" s="498"/>
      <c r="I514" s="498"/>
      <c r="J514" s="151" t="str">
        <f>IF(CHECKING!$B$200=TRUE,10,"")</f>
        <v/>
      </c>
      <c r="K514" s="41"/>
      <c r="L514" s="41"/>
      <c r="M514" s="41"/>
      <c r="N514" s="558"/>
      <c r="O514" s="559"/>
      <c r="P514" s="559"/>
      <c r="Q514" s="559"/>
      <c r="R514" s="559"/>
      <c r="S514" s="560"/>
      <c r="T514" s="41"/>
    </row>
    <row r="515" spans="1:20" x14ac:dyDescent="0.25">
      <c r="A515" s="56"/>
      <c r="B515" s="498"/>
      <c r="C515" s="498"/>
      <c r="D515" s="498"/>
      <c r="E515" s="498"/>
      <c r="F515" s="498"/>
      <c r="G515" s="498"/>
      <c r="H515" s="498"/>
      <c r="I515" s="498"/>
      <c r="J515" s="56"/>
      <c r="K515" s="41"/>
      <c r="L515" s="41"/>
      <c r="M515" s="41"/>
      <c r="N515" s="561"/>
      <c r="O515" s="562"/>
      <c r="P515" s="562"/>
      <c r="Q515" s="562"/>
      <c r="R515" s="562"/>
      <c r="S515" s="563"/>
      <c r="T515" s="41"/>
    </row>
    <row r="516" spans="1:20" x14ac:dyDescent="0.25">
      <c r="A516" s="56"/>
      <c r="B516" s="498"/>
      <c r="C516" s="498"/>
      <c r="D516" s="498"/>
      <c r="E516" s="498"/>
      <c r="F516" s="498"/>
      <c r="G516" s="498"/>
      <c r="H516" s="498"/>
      <c r="I516" s="498"/>
      <c r="J516" s="56"/>
      <c r="K516" s="41"/>
      <c r="L516" s="41"/>
      <c r="M516" s="41"/>
      <c r="N516" s="561"/>
      <c r="O516" s="562"/>
      <c r="P516" s="562"/>
      <c r="Q516" s="562"/>
      <c r="R516" s="562"/>
      <c r="S516" s="563"/>
      <c r="T516" s="41"/>
    </row>
    <row r="517" spans="1:20" x14ac:dyDescent="0.25">
      <c r="A517" s="56"/>
      <c r="B517" s="498"/>
      <c r="C517" s="498"/>
      <c r="D517" s="498"/>
      <c r="E517" s="498"/>
      <c r="F517" s="498"/>
      <c r="G517" s="498"/>
      <c r="H517" s="498"/>
      <c r="I517" s="498"/>
      <c r="J517" s="56"/>
      <c r="K517" s="41"/>
      <c r="L517" s="41"/>
      <c r="M517" s="41"/>
      <c r="N517" s="561"/>
      <c r="O517" s="562"/>
      <c r="P517" s="562"/>
      <c r="Q517" s="562"/>
      <c r="R517" s="562"/>
      <c r="S517" s="563"/>
      <c r="T517" s="41"/>
    </row>
    <row r="518" spans="1:20" x14ac:dyDescent="0.25">
      <c r="A518" s="56"/>
      <c r="B518" s="498"/>
      <c r="C518" s="498"/>
      <c r="D518" s="498"/>
      <c r="E518" s="498"/>
      <c r="F518" s="498"/>
      <c r="G518" s="498"/>
      <c r="H518" s="498"/>
      <c r="I518" s="498"/>
      <c r="J518" s="56"/>
      <c r="K518" s="41"/>
      <c r="L518" s="41"/>
      <c r="M518" s="41"/>
      <c r="N518" s="561"/>
      <c r="O518" s="562"/>
      <c r="P518" s="562"/>
      <c r="Q518" s="562"/>
      <c r="R518" s="562"/>
      <c r="S518" s="563"/>
      <c r="T518" s="41"/>
    </row>
    <row r="519" spans="1:20" x14ac:dyDescent="0.25">
      <c r="A519" s="56"/>
      <c r="B519" s="498"/>
      <c r="C519" s="498"/>
      <c r="D519" s="498"/>
      <c r="E519" s="498"/>
      <c r="F519" s="498"/>
      <c r="G519" s="498"/>
      <c r="H519" s="498"/>
      <c r="I519" s="498"/>
      <c r="J519" s="56"/>
      <c r="K519" s="41"/>
      <c r="L519" s="41"/>
      <c r="M519" s="41"/>
      <c r="N519" s="561"/>
      <c r="O519" s="562"/>
      <c r="P519" s="562"/>
      <c r="Q519" s="562"/>
      <c r="R519" s="562"/>
      <c r="S519" s="563"/>
      <c r="T519" s="41"/>
    </row>
    <row r="520" spans="1:20" x14ac:dyDescent="0.25">
      <c r="A520" s="56"/>
      <c r="B520" s="498"/>
      <c r="C520" s="498"/>
      <c r="D520" s="498"/>
      <c r="E520" s="498"/>
      <c r="F520" s="498"/>
      <c r="G520" s="498"/>
      <c r="H520" s="498"/>
      <c r="I520" s="498"/>
      <c r="J520" s="56"/>
      <c r="K520" s="41"/>
      <c r="L520" s="41"/>
      <c r="M520" s="41"/>
      <c r="N520" s="564"/>
      <c r="O520" s="565"/>
      <c r="P520" s="565"/>
      <c r="Q520" s="565"/>
      <c r="R520" s="565"/>
      <c r="S520" s="566"/>
      <c r="T520" s="41"/>
    </row>
    <row r="521" spans="1:20" x14ac:dyDescent="0.25">
      <c r="A521" s="56"/>
      <c r="B521" s="56"/>
      <c r="C521" s="56"/>
      <c r="D521" s="56"/>
      <c r="E521" s="56"/>
      <c r="F521" s="56"/>
      <c r="G521" s="56"/>
      <c r="H521" s="56"/>
      <c r="I521" s="56"/>
      <c r="J521" s="56"/>
      <c r="K521" s="41"/>
      <c r="L521" s="41"/>
      <c r="M521" s="41"/>
      <c r="N521" s="41"/>
      <c r="O521" s="41"/>
      <c r="P521" s="41"/>
      <c r="Q521" s="41"/>
      <c r="R521" s="41"/>
      <c r="S521" s="41"/>
      <c r="T521" s="41"/>
    </row>
    <row r="522" spans="1:20" ht="15" customHeight="1" x14ac:dyDescent="0.25">
      <c r="A522" s="56"/>
      <c r="B522" s="499" t="s">
        <v>1029</v>
      </c>
      <c r="C522" s="499"/>
      <c r="D522" s="499"/>
      <c r="E522" s="499"/>
      <c r="F522" s="499"/>
      <c r="G522" s="499"/>
      <c r="H522" s="499"/>
      <c r="I522" s="499"/>
      <c r="J522" s="56"/>
      <c r="K522" s="41"/>
      <c r="L522" s="41"/>
      <c r="M522" s="41"/>
      <c r="N522" s="558"/>
      <c r="O522" s="559"/>
      <c r="P522" s="559"/>
      <c r="Q522" s="559"/>
      <c r="R522" s="559"/>
      <c r="S522" s="560"/>
      <c r="T522" s="41"/>
    </row>
    <row r="523" spans="1:20" ht="15" customHeight="1" x14ac:dyDescent="0.25">
      <c r="A523" s="56"/>
      <c r="B523" s="499"/>
      <c r="C523" s="499"/>
      <c r="D523" s="499"/>
      <c r="E523" s="499"/>
      <c r="F523" s="499"/>
      <c r="G523" s="499"/>
      <c r="H523" s="499"/>
      <c r="I523" s="499"/>
      <c r="J523" s="151" t="str">
        <f>IF(CHECKING!$B$201=TRUE,10,"")</f>
        <v/>
      </c>
      <c r="K523" s="41"/>
      <c r="L523" s="41"/>
      <c r="M523" s="41"/>
      <c r="N523" s="561"/>
      <c r="O523" s="562"/>
      <c r="P523" s="562"/>
      <c r="Q523" s="562"/>
      <c r="R523" s="562"/>
      <c r="S523" s="563"/>
      <c r="T523" s="41"/>
    </row>
    <row r="524" spans="1:20" x14ac:dyDescent="0.25">
      <c r="A524" s="56"/>
      <c r="B524" s="499"/>
      <c r="C524" s="499"/>
      <c r="D524" s="499"/>
      <c r="E524" s="499"/>
      <c r="F524" s="499"/>
      <c r="G524" s="499"/>
      <c r="H524" s="499"/>
      <c r="I524" s="499"/>
      <c r="J524" s="56"/>
      <c r="K524" s="41"/>
      <c r="L524" s="41"/>
      <c r="M524" s="41"/>
      <c r="N524" s="561"/>
      <c r="O524" s="562"/>
      <c r="P524" s="562"/>
      <c r="Q524" s="562"/>
      <c r="R524" s="562"/>
      <c r="S524" s="563"/>
      <c r="T524" s="41"/>
    </row>
    <row r="525" spans="1:20" x14ac:dyDescent="0.25">
      <c r="A525" s="56"/>
      <c r="B525" s="499"/>
      <c r="C525" s="499"/>
      <c r="D525" s="499"/>
      <c r="E525" s="499"/>
      <c r="F525" s="499"/>
      <c r="G525" s="499"/>
      <c r="H525" s="499"/>
      <c r="I525" s="499"/>
      <c r="J525" s="56"/>
      <c r="K525" s="41"/>
      <c r="L525" s="41"/>
      <c r="M525" s="41"/>
      <c r="N525" s="561"/>
      <c r="O525" s="562"/>
      <c r="P525" s="562"/>
      <c r="Q525" s="562"/>
      <c r="R525" s="562"/>
      <c r="S525" s="563"/>
      <c r="T525" s="41"/>
    </row>
    <row r="526" spans="1:20" x14ac:dyDescent="0.25">
      <c r="A526" s="56"/>
      <c r="B526" s="499"/>
      <c r="C526" s="499"/>
      <c r="D526" s="499"/>
      <c r="E526" s="499"/>
      <c r="F526" s="499"/>
      <c r="G526" s="499"/>
      <c r="H526" s="499"/>
      <c r="I526" s="499"/>
      <c r="J526" s="56"/>
      <c r="K526" s="41"/>
      <c r="L526" s="41"/>
      <c r="M526" s="41"/>
      <c r="N526" s="561"/>
      <c r="O526" s="562"/>
      <c r="P526" s="562"/>
      <c r="Q526" s="562"/>
      <c r="R526" s="562"/>
      <c r="S526" s="563"/>
      <c r="T526" s="41"/>
    </row>
    <row r="527" spans="1:20" x14ac:dyDescent="0.25">
      <c r="A527" s="56"/>
      <c r="B527" s="499"/>
      <c r="C527" s="499"/>
      <c r="D527" s="499"/>
      <c r="E527" s="499"/>
      <c r="F527" s="499"/>
      <c r="G527" s="499"/>
      <c r="H527" s="499"/>
      <c r="I527" s="499"/>
      <c r="J527" s="56"/>
      <c r="K527" s="41"/>
      <c r="L527" s="41"/>
      <c r="M527" s="41"/>
      <c r="N527" s="561"/>
      <c r="O527" s="562"/>
      <c r="P527" s="562"/>
      <c r="Q527" s="562"/>
      <c r="R527" s="562"/>
      <c r="S527" s="563"/>
      <c r="T527" s="41"/>
    </row>
    <row r="528" spans="1:20" x14ac:dyDescent="0.25">
      <c r="A528" s="56"/>
      <c r="B528" s="499"/>
      <c r="C528" s="499"/>
      <c r="D528" s="499"/>
      <c r="E528" s="499"/>
      <c r="F528" s="499"/>
      <c r="G528" s="499"/>
      <c r="H528" s="499"/>
      <c r="I528" s="499"/>
      <c r="J528" s="56"/>
      <c r="K528" s="41"/>
      <c r="L528" s="41"/>
      <c r="M528" s="41"/>
      <c r="N528" s="561"/>
      <c r="O528" s="562"/>
      <c r="P528" s="562"/>
      <c r="Q528" s="562"/>
      <c r="R528" s="562"/>
      <c r="S528" s="563"/>
      <c r="T528" s="41"/>
    </row>
    <row r="529" spans="1:20" ht="15.75" thickBot="1" x14ac:dyDescent="0.3">
      <c r="A529" s="56"/>
      <c r="B529" s="56"/>
      <c r="C529" s="56"/>
      <c r="D529" s="56"/>
      <c r="E529" s="56"/>
      <c r="F529" s="56"/>
      <c r="G529" s="56"/>
      <c r="H529" s="56"/>
      <c r="I529" s="56"/>
      <c r="J529" s="56"/>
      <c r="K529" s="41"/>
      <c r="L529" s="41"/>
      <c r="M529" s="41"/>
      <c r="N529" s="561"/>
      <c r="O529" s="562"/>
      <c r="P529" s="562"/>
      <c r="Q529" s="562"/>
      <c r="R529" s="562"/>
      <c r="S529" s="563"/>
      <c r="T529" s="41"/>
    </row>
    <row r="530" spans="1:20" x14ac:dyDescent="0.25">
      <c r="A530" s="56"/>
      <c r="B530" s="779" t="s">
        <v>1030</v>
      </c>
      <c r="C530" s="780"/>
      <c r="D530" s="780"/>
      <c r="E530" s="780"/>
      <c r="F530" s="780"/>
      <c r="G530" s="780"/>
      <c r="H530" s="780"/>
      <c r="I530" s="781"/>
      <c r="J530" s="56"/>
      <c r="K530" s="41"/>
      <c r="L530" s="41"/>
      <c r="M530" s="41"/>
      <c r="N530" s="561"/>
      <c r="O530" s="562"/>
      <c r="P530" s="562"/>
      <c r="Q530" s="562"/>
      <c r="R530" s="562"/>
      <c r="S530" s="563"/>
      <c r="T530" s="41"/>
    </row>
    <row r="531" spans="1:20" x14ac:dyDescent="0.25">
      <c r="A531" s="56"/>
      <c r="B531" s="782"/>
      <c r="C531" s="783"/>
      <c r="D531" s="783"/>
      <c r="E531" s="783"/>
      <c r="F531" s="783"/>
      <c r="G531" s="783"/>
      <c r="H531" s="783"/>
      <c r="I531" s="784"/>
      <c r="J531" s="56"/>
      <c r="K531" s="41"/>
      <c r="L531" s="41"/>
      <c r="M531" s="41"/>
      <c r="N531" s="561"/>
      <c r="O531" s="562"/>
      <c r="P531" s="562"/>
      <c r="Q531" s="562"/>
      <c r="R531" s="562"/>
      <c r="S531" s="563"/>
      <c r="T531" s="41"/>
    </row>
    <row r="532" spans="1:20" ht="15.75" thickBot="1" x14ac:dyDescent="0.3">
      <c r="A532" s="56"/>
      <c r="B532" s="785"/>
      <c r="C532" s="786"/>
      <c r="D532" s="786"/>
      <c r="E532" s="786"/>
      <c r="F532" s="786"/>
      <c r="G532" s="786"/>
      <c r="H532" s="786"/>
      <c r="I532" s="787"/>
      <c r="J532" s="56"/>
      <c r="K532" s="41"/>
      <c r="L532" s="41"/>
      <c r="M532" s="41"/>
      <c r="N532" s="564"/>
      <c r="O532" s="565"/>
      <c r="P532" s="565"/>
      <c r="Q532" s="565"/>
      <c r="R532" s="565"/>
      <c r="S532" s="566"/>
      <c r="T532" s="41"/>
    </row>
    <row r="533" spans="1:20" x14ac:dyDescent="0.25">
      <c r="A533" s="56"/>
      <c r="B533" s="56"/>
      <c r="C533" s="56"/>
      <c r="D533" s="56"/>
      <c r="E533" s="56"/>
      <c r="F533" s="56"/>
      <c r="G533" s="56"/>
      <c r="H533" s="56"/>
      <c r="I533" s="56"/>
      <c r="J533" s="56"/>
      <c r="K533" s="41"/>
      <c r="L533" s="41"/>
      <c r="M533" s="41"/>
      <c r="N533" s="41"/>
      <c r="O533" s="41"/>
      <c r="P533" s="41"/>
      <c r="Q533" s="41"/>
      <c r="R533" s="41"/>
      <c r="S533" s="41"/>
      <c r="T533" s="41"/>
    </row>
    <row r="534" spans="1:20" x14ac:dyDescent="0.25">
      <c r="A534" s="469" t="s">
        <v>839</v>
      </c>
      <c r="B534" s="469"/>
      <c r="C534" s="469"/>
      <c r="D534" s="469"/>
      <c r="E534" s="469"/>
      <c r="F534" s="469"/>
      <c r="G534" s="469"/>
      <c r="H534" s="469"/>
      <c r="I534" s="469"/>
      <c r="J534" s="469"/>
      <c r="K534" s="41"/>
      <c r="L534" s="41"/>
      <c r="M534" s="41"/>
      <c r="N534" s="41"/>
      <c r="O534" s="41"/>
      <c r="P534" s="41"/>
      <c r="Q534" s="41"/>
      <c r="R534" s="41"/>
      <c r="S534" s="41"/>
      <c r="T534" s="41"/>
    </row>
    <row r="535" spans="1:20" x14ac:dyDescent="0.25">
      <c r="A535" s="498" t="s">
        <v>1161</v>
      </c>
      <c r="B535" s="498"/>
      <c r="C535" s="498"/>
      <c r="D535" s="498"/>
      <c r="E535" s="498"/>
      <c r="F535" s="498"/>
      <c r="G535" s="498"/>
      <c r="H535" s="498"/>
      <c r="I535" s="498"/>
      <c r="J535" s="498"/>
      <c r="K535" s="41"/>
      <c r="L535" s="41"/>
      <c r="M535" s="41"/>
      <c r="N535" s="41"/>
      <c r="O535" s="41"/>
      <c r="P535" s="41"/>
      <c r="Q535" s="41"/>
      <c r="R535" s="41"/>
      <c r="S535" s="41"/>
      <c r="T535" s="41"/>
    </row>
    <row r="536" spans="1:20" ht="15" customHeight="1" x14ac:dyDescent="0.25">
      <c r="A536" s="498"/>
      <c r="B536" s="498"/>
      <c r="C536" s="498"/>
      <c r="D536" s="498"/>
      <c r="E536" s="498"/>
      <c r="F536" s="498"/>
      <c r="G536" s="498"/>
      <c r="H536" s="498"/>
      <c r="I536" s="498"/>
      <c r="J536" s="498"/>
      <c r="K536" s="41"/>
      <c r="L536" s="41"/>
      <c r="M536" s="41"/>
      <c r="N536" s="41"/>
      <c r="O536" s="41"/>
      <c r="P536" s="41"/>
      <c r="Q536" s="41"/>
      <c r="R536" s="41"/>
      <c r="S536" s="41"/>
      <c r="T536" s="41"/>
    </row>
    <row r="537" spans="1:20" x14ac:dyDescent="0.25">
      <c r="A537" s="498"/>
      <c r="B537" s="498"/>
      <c r="C537" s="498"/>
      <c r="D537" s="498"/>
      <c r="E537" s="498"/>
      <c r="F537" s="498"/>
      <c r="G537" s="498"/>
      <c r="H537" s="498"/>
      <c r="I537" s="498"/>
      <c r="J537" s="498"/>
      <c r="K537" s="41"/>
      <c r="L537" s="41"/>
      <c r="M537" s="41"/>
      <c r="N537" s="41"/>
      <c r="O537" s="41"/>
      <c r="P537" s="41"/>
      <c r="Q537" s="41"/>
      <c r="R537" s="41"/>
      <c r="S537" s="41"/>
      <c r="T537" s="41"/>
    </row>
    <row r="538" spans="1:20" x14ac:dyDescent="0.25">
      <c r="A538" s="45"/>
      <c r="B538" s="45"/>
      <c r="C538" s="45"/>
      <c r="D538" s="45"/>
      <c r="E538" s="45"/>
      <c r="F538" s="45"/>
      <c r="G538" s="45"/>
      <c r="H538" s="45"/>
      <c r="I538" s="45"/>
      <c r="J538" s="45"/>
      <c r="K538" s="41"/>
      <c r="L538" s="41"/>
      <c r="M538" s="41"/>
      <c r="N538" s="41"/>
      <c r="O538" s="41"/>
      <c r="P538" s="41"/>
      <c r="Q538" s="41"/>
      <c r="R538" s="41"/>
      <c r="S538" s="41"/>
      <c r="T538" s="41"/>
    </row>
    <row r="539" spans="1:20" x14ac:dyDescent="0.25">
      <c r="A539" s="498" t="s">
        <v>840</v>
      </c>
      <c r="B539" s="498"/>
      <c r="C539" s="498"/>
      <c r="D539" s="498"/>
      <c r="E539" s="498"/>
      <c r="F539" s="498"/>
      <c r="G539" s="498"/>
      <c r="H539" s="498"/>
      <c r="I539" s="498"/>
      <c r="J539" s="498"/>
      <c r="K539" s="41"/>
      <c r="L539" s="41"/>
      <c r="M539" s="41"/>
      <c r="N539" s="41"/>
      <c r="O539" s="41"/>
      <c r="P539" s="41"/>
      <c r="Q539" s="41"/>
      <c r="R539" s="41"/>
      <c r="S539" s="41"/>
      <c r="T539" s="41"/>
    </row>
    <row r="540" spans="1:20" ht="15" customHeight="1" x14ac:dyDescent="0.25">
      <c r="A540" s="498"/>
      <c r="B540" s="498"/>
      <c r="C540" s="498"/>
      <c r="D540" s="498"/>
      <c r="E540" s="498"/>
      <c r="F540" s="498"/>
      <c r="G540" s="498"/>
      <c r="H540" s="498"/>
      <c r="I540" s="498"/>
      <c r="J540" s="498"/>
      <c r="K540" s="41"/>
      <c r="L540" s="41"/>
      <c r="M540" s="41"/>
      <c r="N540" s="41"/>
      <c r="O540" s="41"/>
      <c r="P540" s="41"/>
      <c r="Q540" s="41"/>
      <c r="R540" s="41"/>
      <c r="S540" s="41"/>
      <c r="T540" s="41"/>
    </row>
    <row r="541" spans="1:20" x14ac:dyDescent="0.25">
      <c r="A541" s="499" t="s">
        <v>841</v>
      </c>
      <c r="B541" s="499"/>
      <c r="C541" s="499"/>
      <c r="D541" s="499"/>
      <c r="E541" s="499"/>
      <c r="F541" s="499"/>
      <c r="G541" s="499"/>
      <c r="H541" s="499"/>
      <c r="I541" s="499"/>
      <c r="J541" s="499"/>
      <c r="K541" s="41"/>
      <c r="L541" s="41"/>
      <c r="M541" s="41"/>
      <c r="N541" s="41"/>
      <c r="O541" s="41"/>
      <c r="P541" s="41"/>
      <c r="Q541" s="41"/>
      <c r="R541" s="41"/>
      <c r="S541" s="41"/>
      <c r="T541" s="41"/>
    </row>
    <row r="542" spans="1:20" ht="15" customHeight="1" x14ac:dyDescent="0.25">
      <c r="A542" s="499"/>
      <c r="B542" s="499"/>
      <c r="C542" s="499"/>
      <c r="D542" s="499"/>
      <c r="E542" s="499"/>
      <c r="F542" s="499"/>
      <c r="G542" s="499"/>
      <c r="H542" s="499"/>
      <c r="I542" s="499"/>
      <c r="J542" s="499"/>
      <c r="K542" s="41"/>
      <c r="L542" s="41"/>
      <c r="M542" s="41"/>
      <c r="N542" s="41"/>
      <c r="O542" s="41"/>
      <c r="P542" s="41"/>
      <c r="Q542" s="41"/>
      <c r="R542" s="41"/>
      <c r="S542" s="41"/>
      <c r="T542" s="41"/>
    </row>
    <row r="543" spans="1:20" x14ac:dyDescent="0.25">
      <c r="A543" s="44"/>
      <c r="B543" s="44"/>
      <c r="C543" s="44"/>
      <c r="D543" s="44"/>
      <c r="E543" s="44"/>
      <c r="F543" s="44"/>
      <c r="G543" s="44"/>
      <c r="H543" s="44"/>
      <c r="I543" s="44"/>
      <c r="J543" s="44"/>
      <c r="K543" s="41"/>
      <c r="L543" s="41"/>
      <c r="M543" s="41"/>
      <c r="N543" s="41"/>
      <c r="O543" s="41"/>
      <c r="P543" s="41"/>
      <c r="Q543" s="41"/>
      <c r="R543" s="41"/>
      <c r="S543" s="41"/>
      <c r="T543" s="41"/>
    </row>
    <row r="544" spans="1:20" x14ac:dyDescent="0.25">
      <c r="A544" s="45"/>
      <c r="B544" s="72" t="s">
        <v>842</v>
      </c>
      <c r="C544" s="45"/>
      <c r="D544" s="45"/>
      <c r="E544" s="166" t="s">
        <v>843</v>
      </c>
      <c r="F544" s="167"/>
      <c r="G544" s="167"/>
      <c r="H544" s="168">
        <f>3*Dropdowns!$Z$11</f>
        <v>1440</v>
      </c>
      <c r="I544" s="45"/>
      <c r="J544" s="45"/>
      <c r="K544" s="41"/>
      <c r="L544" s="41"/>
      <c r="M544" s="41"/>
      <c r="N544" s="41"/>
      <c r="O544" s="41"/>
      <c r="P544" s="41"/>
      <c r="Q544" s="41"/>
      <c r="R544" s="41"/>
      <c r="S544" s="41"/>
      <c r="T544" s="41"/>
    </row>
    <row r="545" spans="1:20" x14ac:dyDescent="0.25">
      <c r="A545" s="45"/>
      <c r="B545" s="166" t="s">
        <v>844</v>
      </c>
      <c r="C545" s="169"/>
      <c r="D545" s="170">
        <f>Dropdowns!$Z$11</f>
        <v>480</v>
      </c>
      <c r="E545" s="166" t="s">
        <v>845</v>
      </c>
      <c r="F545" s="167"/>
      <c r="G545" s="167"/>
      <c r="H545" s="168">
        <f>3.5*Dropdowns!$Z$11</f>
        <v>1680</v>
      </c>
      <c r="I545" s="45"/>
      <c r="J545" s="45"/>
      <c r="K545" s="41"/>
      <c r="L545" s="41"/>
      <c r="M545" s="41"/>
      <c r="N545" s="41"/>
      <c r="O545" s="41"/>
      <c r="P545" s="41"/>
      <c r="Q545" s="41"/>
      <c r="R545" s="41"/>
      <c r="S545" s="41"/>
      <c r="T545" s="41"/>
    </row>
    <row r="546" spans="1:20" x14ac:dyDescent="0.25">
      <c r="A546" s="45"/>
      <c r="B546" s="166" t="s">
        <v>846</v>
      </c>
      <c r="C546" s="169"/>
      <c r="D546" s="170">
        <f>1.5*Dropdowns!$Z$11</f>
        <v>720</v>
      </c>
      <c r="E546" s="166" t="s">
        <v>847</v>
      </c>
      <c r="F546" s="167"/>
      <c r="G546" s="167"/>
      <c r="H546" s="168">
        <f>4*Dropdowns!$Z$11</f>
        <v>1920</v>
      </c>
      <c r="I546" s="45"/>
      <c r="J546" s="45"/>
      <c r="K546" s="41"/>
      <c r="L546" s="41"/>
      <c r="M546" s="41"/>
      <c r="N546" s="41"/>
      <c r="O546" s="41"/>
      <c r="P546" s="41"/>
      <c r="Q546" s="41"/>
      <c r="R546" s="41"/>
      <c r="S546" s="41"/>
      <c r="T546" s="41"/>
    </row>
    <row r="547" spans="1:20" x14ac:dyDescent="0.25">
      <c r="A547" s="45"/>
      <c r="B547" s="166" t="s">
        <v>848</v>
      </c>
      <c r="C547" s="169"/>
      <c r="D547" s="170">
        <f>2*Dropdowns!$Z$11</f>
        <v>960</v>
      </c>
      <c r="E547" s="166" t="s">
        <v>849</v>
      </c>
      <c r="F547" s="167"/>
      <c r="G547" s="167"/>
      <c r="H547" s="168">
        <f>4.5*Dropdowns!$Z$11</f>
        <v>2160</v>
      </c>
      <c r="I547" s="45"/>
      <c r="J547" s="45"/>
      <c r="K547" s="41"/>
      <c r="L547" s="41"/>
      <c r="M547" s="41"/>
      <c r="N547" s="41"/>
      <c r="O547" s="41"/>
      <c r="P547" s="41"/>
      <c r="Q547" s="41"/>
      <c r="R547" s="41"/>
      <c r="S547" s="41"/>
      <c r="T547" s="41"/>
    </row>
    <row r="548" spans="1:20" x14ac:dyDescent="0.25">
      <c r="A548" s="45"/>
      <c r="B548" s="166" t="s">
        <v>850</v>
      </c>
      <c r="C548" s="169"/>
      <c r="D548" s="170">
        <f>2.5*Dropdowns!$Z$11</f>
        <v>1200</v>
      </c>
      <c r="E548" s="166" t="s">
        <v>851</v>
      </c>
      <c r="F548" s="167"/>
      <c r="G548" s="167"/>
      <c r="H548" s="168">
        <f>5*Dropdowns!$Z$11</f>
        <v>2400</v>
      </c>
      <c r="I548" s="45"/>
      <c r="J548" s="45"/>
      <c r="K548" s="41"/>
      <c r="L548" s="41"/>
      <c r="M548" s="41"/>
      <c r="N548" s="41"/>
      <c r="O548" s="41"/>
      <c r="P548" s="41"/>
      <c r="Q548" s="41"/>
      <c r="R548" s="41"/>
      <c r="S548" s="41"/>
      <c r="T548" s="41"/>
    </row>
    <row r="549" spans="1:20" ht="15.75" thickBot="1" x14ac:dyDescent="0.3">
      <c r="A549" s="283"/>
      <c r="B549" s="283"/>
      <c r="C549" s="283"/>
      <c r="D549" s="283"/>
      <c r="E549" s="283"/>
      <c r="F549" s="283"/>
      <c r="G549" s="283"/>
      <c r="H549" s="283"/>
      <c r="I549" s="283"/>
      <c r="J549" s="283"/>
      <c r="K549" s="280"/>
      <c r="L549" s="280"/>
      <c r="M549" s="280"/>
      <c r="N549" s="280"/>
      <c r="O549" s="280"/>
      <c r="P549" s="280"/>
      <c r="Q549" s="280"/>
      <c r="R549" s="280"/>
      <c r="S549" s="280"/>
      <c r="T549" s="280"/>
    </row>
    <row r="550" spans="1:20" ht="15.75" thickBot="1" x14ac:dyDescent="0.3">
      <c r="A550" s="500" t="s">
        <v>852</v>
      </c>
      <c r="B550" s="501"/>
      <c r="C550" s="501"/>
      <c r="D550" s="501"/>
      <c r="E550" s="501"/>
      <c r="F550" s="501"/>
      <c r="G550" s="501"/>
      <c r="H550" s="501"/>
      <c r="I550" s="502"/>
      <c r="J550" s="45"/>
      <c r="K550" s="91"/>
      <c r="L550" s="91"/>
      <c r="M550" s="41"/>
      <c r="N550" s="41"/>
      <c r="O550" s="41"/>
      <c r="P550" s="41"/>
      <c r="Q550" s="41"/>
      <c r="R550" s="41"/>
      <c r="S550" s="41"/>
      <c r="T550" s="41"/>
    </row>
    <row r="551" spans="1:20" x14ac:dyDescent="0.25">
      <c r="A551" s="45"/>
      <c r="B551" s="45"/>
      <c r="C551" s="45"/>
      <c r="D551" s="45"/>
      <c r="E551" s="45"/>
      <c r="F551" s="45"/>
      <c r="G551" s="45"/>
      <c r="H551" s="45"/>
      <c r="I551" s="45"/>
      <c r="J551" s="45"/>
      <c r="K551" s="91"/>
      <c r="L551" s="91"/>
      <c r="M551" s="41"/>
      <c r="N551" s="558"/>
      <c r="O551" s="559"/>
      <c r="P551" s="559"/>
      <c r="Q551" s="559"/>
      <c r="R551" s="559"/>
      <c r="S551" s="560"/>
      <c r="T551" s="41"/>
    </row>
    <row r="552" spans="1:20" x14ac:dyDescent="0.25">
      <c r="A552" s="663" t="s">
        <v>1171</v>
      </c>
      <c r="B552" s="663"/>
      <c r="C552" s="663"/>
      <c r="D552" s="663"/>
      <c r="E552" s="663"/>
      <c r="F552" s="663"/>
      <c r="G552" s="663"/>
      <c r="H552" s="663"/>
      <c r="I552" s="663"/>
      <c r="J552" s="45"/>
      <c r="K552" s="91"/>
      <c r="L552" s="91"/>
      <c r="M552" s="41"/>
      <c r="N552" s="561"/>
      <c r="O552" s="562"/>
      <c r="P552" s="562"/>
      <c r="Q552" s="562"/>
      <c r="R552" s="562"/>
      <c r="S552" s="563"/>
      <c r="T552" s="41"/>
    </row>
    <row r="553" spans="1:20" ht="12" customHeight="1" x14ac:dyDescent="0.25">
      <c r="A553" s="663"/>
      <c r="B553" s="663"/>
      <c r="C553" s="663"/>
      <c r="D553" s="663"/>
      <c r="E553" s="663"/>
      <c r="F553" s="663"/>
      <c r="G553" s="663"/>
      <c r="H553" s="663"/>
      <c r="I553" s="663"/>
      <c r="J553" s="151" t="str">
        <f>IF(CHECKING!$D$206=TRUE,10,"")</f>
        <v/>
      </c>
      <c r="K553" s="91"/>
      <c r="L553" s="91"/>
      <c r="M553" s="41"/>
      <c r="N553" s="561"/>
      <c r="O553" s="562"/>
      <c r="P553" s="562"/>
      <c r="Q553" s="562"/>
      <c r="R553" s="562"/>
      <c r="S553" s="563"/>
      <c r="T553" s="41"/>
    </row>
    <row r="554" spans="1:20" x14ac:dyDescent="0.25">
      <c r="A554" s="45"/>
      <c r="B554" s="45"/>
      <c r="C554" s="171"/>
      <c r="D554" s="171"/>
      <c r="E554" s="171"/>
      <c r="F554" s="171"/>
      <c r="G554" s="171"/>
      <c r="H554" s="171"/>
      <c r="I554" s="171"/>
      <c r="J554" s="45"/>
      <c r="K554" s="91"/>
      <c r="L554" s="91"/>
      <c r="M554" s="41"/>
      <c r="N554" s="561"/>
      <c r="O554" s="562"/>
      <c r="P554" s="562"/>
      <c r="Q554" s="562"/>
      <c r="R554" s="562"/>
      <c r="S554" s="563"/>
      <c r="T554" s="41"/>
    </row>
    <row r="555" spans="1:20" x14ac:dyDescent="0.25">
      <c r="A555" s="663" t="s">
        <v>922</v>
      </c>
      <c r="B555" s="663"/>
      <c r="C555" s="663"/>
      <c r="D555" s="663"/>
      <c r="E555" s="663"/>
      <c r="F555" s="663"/>
      <c r="G555" s="663"/>
      <c r="H555" s="663"/>
      <c r="I555" s="663"/>
      <c r="J555" s="45"/>
      <c r="K555" s="91"/>
      <c r="L555" s="91"/>
      <c r="M555" s="41"/>
      <c r="N555" s="561"/>
      <c r="O555" s="562"/>
      <c r="P555" s="562"/>
      <c r="Q555" s="562"/>
      <c r="R555" s="562"/>
      <c r="S555" s="563"/>
      <c r="T555" s="41"/>
    </row>
    <row r="556" spans="1:20" ht="18.75" x14ac:dyDescent="0.25">
      <c r="A556" s="663"/>
      <c r="B556" s="663"/>
      <c r="C556" s="663"/>
      <c r="D556" s="663"/>
      <c r="E556" s="663"/>
      <c r="F556" s="663"/>
      <c r="G556" s="663"/>
      <c r="H556" s="663"/>
      <c r="I556" s="663"/>
      <c r="J556" s="151" t="str">
        <f>IF(AND($I$92&lt;&gt;"",$I$92&lt;=DATEVALUE("06/04/2017")),10,"")</f>
        <v/>
      </c>
      <c r="K556" s="91"/>
      <c r="L556" s="91"/>
      <c r="M556" s="41"/>
      <c r="N556" s="561"/>
      <c r="O556" s="562"/>
      <c r="P556" s="562"/>
      <c r="Q556" s="562"/>
      <c r="R556" s="562"/>
      <c r="S556" s="563"/>
      <c r="T556" s="41"/>
    </row>
    <row r="557" spans="1:20" x14ac:dyDescent="0.25">
      <c r="A557" s="45"/>
      <c r="B557" s="45"/>
      <c r="C557" s="45"/>
      <c r="D557" s="45"/>
      <c r="E557" s="45"/>
      <c r="F557" s="45"/>
      <c r="G557" s="45"/>
      <c r="H557" s="45"/>
      <c r="I557" s="45"/>
      <c r="J557" s="45"/>
      <c r="K557" s="91"/>
      <c r="L557" s="91"/>
      <c r="M557" s="41"/>
      <c r="N557" s="561"/>
      <c r="O557" s="562"/>
      <c r="P557" s="562"/>
      <c r="Q557" s="562"/>
      <c r="R557" s="562"/>
      <c r="S557" s="563"/>
      <c r="T557" s="41"/>
    </row>
    <row r="558" spans="1:20" x14ac:dyDescent="0.25">
      <c r="A558" s="45"/>
      <c r="B558" s="631" t="str">
        <f>IF(SUM($J$553,$J$556)&gt;=10,"ISC does not apply in this case","ISC applies in this case")</f>
        <v>ISC applies in this case</v>
      </c>
      <c r="C558" s="632"/>
      <c r="D558" s="632"/>
      <c r="E558" s="632"/>
      <c r="F558" s="632"/>
      <c r="G558" s="632"/>
      <c r="H558" s="633"/>
      <c r="I558" s="45"/>
      <c r="J558" s="45"/>
      <c r="K558" s="91"/>
      <c r="L558" s="91"/>
      <c r="M558" s="41"/>
      <c r="N558" s="564"/>
      <c r="O558" s="565"/>
      <c r="P558" s="565"/>
      <c r="Q558" s="565"/>
      <c r="R558" s="565"/>
      <c r="S558" s="566"/>
      <c r="T558" s="41"/>
    </row>
    <row r="559" spans="1:20" x14ac:dyDescent="0.25">
      <c r="A559" s="45"/>
      <c r="B559" s="45"/>
      <c r="C559" s="45"/>
      <c r="D559" s="45"/>
      <c r="E559" s="45"/>
      <c r="F559" s="45"/>
      <c r="G559" s="45"/>
      <c r="H559" s="45"/>
      <c r="I559" s="45"/>
      <c r="J559" s="45"/>
      <c r="K559" s="91"/>
      <c r="L559" s="91"/>
      <c r="M559" s="41"/>
      <c r="N559" s="41"/>
      <c r="O559" s="41"/>
      <c r="P559" s="41"/>
      <c r="Q559" s="41"/>
      <c r="R559" s="41"/>
      <c r="S559" s="41"/>
      <c r="T559" s="41"/>
    </row>
    <row r="560" spans="1:20" x14ac:dyDescent="0.25">
      <c r="A560" s="469" t="s">
        <v>853</v>
      </c>
      <c r="B560" s="469"/>
      <c r="C560" s="469"/>
      <c r="D560" s="469"/>
      <c r="E560" s="469"/>
      <c r="F560" s="469"/>
      <c r="G560" s="469"/>
      <c r="H560" s="469"/>
      <c r="I560" s="469"/>
      <c r="J560" s="469"/>
      <c r="K560" s="91"/>
      <c r="L560" s="91"/>
      <c r="M560" s="41"/>
      <c r="N560" s="41"/>
      <c r="O560" s="41"/>
      <c r="P560" s="41"/>
      <c r="Q560" s="41"/>
      <c r="R560" s="41"/>
      <c r="S560" s="41"/>
      <c r="T560" s="41"/>
    </row>
    <row r="561" spans="1:20" ht="15.75" thickBot="1" x14ac:dyDescent="0.3">
      <c r="A561" s="45"/>
      <c r="B561" s="45"/>
      <c r="C561" s="45"/>
      <c r="D561" s="45"/>
      <c r="E561" s="45"/>
      <c r="F561" s="45"/>
      <c r="G561" s="45"/>
      <c r="H561" s="45"/>
      <c r="I561" s="45"/>
      <c r="J561" s="45"/>
      <c r="K561" s="91"/>
      <c r="L561" s="41"/>
      <c r="M561" s="41"/>
      <c r="N561" s="41"/>
      <c r="O561" s="41"/>
      <c r="P561" s="41"/>
      <c r="Q561" s="41"/>
      <c r="R561" s="41"/>
      <c r="S561" s="41"/>
      <c r="T561" s="41"/>
    </row>
    <row r="562" spans="1:20" ht="15.75" thickBot="1" x14ac:dyDescent="0.3">
      <c r="A562" s="45"/>
      <c r="B562" s="440" t="s">
        <v>1150</v>
      </c>
      <c r="C562" s="185">
        <f>IF($F$267&lt;&gt;"",Dropdowns!$Z$14,0)</f>
        <v>0</v>
      </c>
      <c r="D562" s="150" t="s">
        <v>871</v>
      </c>
      <c r="E562" s="634">
        <f>IF($F$267&lt;&gt;"",IF(SUM($J$383,$J$553,$J$556)&gt;=10,0,IF((($D$269*12)+$F$269+IF($H$269&gt;Dropdowns!$AA$11,1,0))&lt;=12,Dropdowns!$Z$11,Dropdowns!$Z$11+ROUNDUP(((($D$269*12)+$F$269+IF($H$269&gt;Dropdowns!$AA$11,1,0))-12)/6,0)*(Dropdowns!$Z$11/2))),0)</f>
        <v>0</v>
      </c>
      <c r="F562" s="635"/>
      <c r="G562" s="186" t="s">
        <v>857</v>
      </c>
      <c r="H562" s="636">
        <f>$C$562+$E$562</f>
        <v>0</v>
      </c>
      <c r="I562" s="637"/>
      <c r="J562" s="45"/>
      <c r="K562" s="91"/>
      <c r="L562" s="41"/>
      <c r="M562" s="41"/>
      <c r="N562" s="558"/>
      <c r="O562" s="559"/>
      <c r="P562" s="559"/>
      <c r="Q562" s="559"/>
      <c r="R562" s="559"/>
      <c r="S562" s="560"/>
      <c r="T562" s="41"/>
    </row>
    <row r="563" spans="1:20" s="269" customFormat="1" x14ac:dyDescent="0.25">
      <c r="A563" s="45"/>
      <c r="B563" s="395"/>
      <c r="C563" s="396"/>
      <c r="D563" s="395"/>
      <c r="E563" s="397"/>
      <c r="F563" s="397"/>
      <c r="G563" s="186"/>
      <c r="H563" s="397"/>
      <c r="I563" s="397"/>
      <c r="J563" s="45"/>
      <c r="K563" s="276"/>
      <c r="L563" s="41"/>
      <c r="M563" s="41"/>
      <c r="N563" s="561"/>
      <c r="O563" s="562"/>
      <c r="P563" s="562"/>
      <c r="Q563" s="562"/>
      <c r="R563" s="562"/>
      <c r="S563" s="563"/>
      <c r="T563" s="41"/>
    </row>
    <row r="564" spans="1:20" s="269" customFormat="1" x14ac:dyDescent="0.25">
      <c r="A564" s="805" t="s">
        <v>1151</v>
      </c>
      <c r="B564" s="805"/>
      <c r="C564" s="805"/>
      <c r="D564" s="805"/>
      <c r="E564" s="805"/>
      <c r="F564" s="805"/>
      <c r="G564" s="805"/>
      <c r="H564" s="805"/>
      <c r="I564" s="805"/>
      <c r="J564" s="805"/>
      <c r="K564" s="276"/>
      <c r="L564" s="41"/>
      <c r="M564" s="41"/>
      <c r="N564" s="561"/>
      <c r="O564" s="562"/>
      <c r="P564" s="562"/>
      <c r="Q564" s="562"/>
      <c r="R564" s="562"/>
      <c r="S564" s="563"/>
      <c r="T564" s="41"/>
    </row>
    <row r="565" spans="1:20" x14ac:dyDescent="0.25">
      <c r="A565" s="129"/>
      <c r="B565" s="45"/>
      <c r="C565" s="45"/>
      <c r="D565" s="45"/>
      <c r="E565" s="45"/>
      <c r="F565" s="45"/>
      <c r="G565" s="45"/>
      <c r="H565" s="45"/>
      <c r="I565" s="45"/>
      <c r="J565" s="45"/>
      <c r="K565" s="91"/>
      <c r="L565" s="41"/>
      <c r="M565" s="41"/>
      <c r="N565" s="561"/>
      <c r="O565" s="562"/>
      <c r="P565" s="562"/>
      <c r="Q565" s="562"/>
      <c r="R565" s="562"/>
      <c r="S565" s="563"/>
      <c r="T565" s="41"/>
    </row>
    <row r="566" spans="1:20" ht="15" customHeight="1" x14ac:dyDescent="0.25">
      <c r="A566" s="638" t="s">
        <v>1106</v>
      </c>
      <c r="B566" s="639"/>
      <c r="C566" s="639"/>
      <c r="D566" s="639"/>
      <c r="E566" s="639"/>
      <c r="F566" s="639"/>
      <c r="G566" s="639"/>
      <c r="H566" s="639"/>
      <c r="I566" s="639"/>
      <c r="J566" s="640"/>
      <c r="K566" s="91"/>
      <c r="L566" s="91"/>
      <c r="M566" s="91"/>
      <c r="N566" s="561"/>
      <c r="O566" s="562"/>
      <c r="P566" s="562"/>
      <c r="Q566" s="562"/>
      <c r="R566" s="562"/>
      <c r="S566" s="563"/>
      <c r="T566" s="41"/>
    </row>
    <row r="567" spans="1:20" x14ac:dyDescent="0.25">
      <c r="A567" s="641"/>
      <c r="B567" s="642"/>
      <c r="C567" s="642"/>
      <c r="D567" s="642"/>
      <c r="E567" s="642"/>
      <c r="F567" s="642"/>
      <c r="G567" s="642"/>
      <c r="H567" s="642"/>
      <c r="I567" s="642"/>
      <c r="J567" s="643"/>
      <c r="K567" s="91"/>
      <c r="L567" s="91"/>
      <c r="M567" s="91"/>
      <c r="N567" s="561"/>
      <c r="O567" s="562"/>
      <c r="P567" s="562"/>
      <c r="Q567" s="562"/>
      <c r="R567" s="562"/>
      <c r="S567" s="563"/>
      <c r="T567" s="41"/>
    </row>
    <row r="568" spans="1:20" ht="15.75" thickBot="1" x14ac:dyDescent="0.3">
      <c r="A568" s="222"/>
      <c r="B568" s="43"/>
      <c r="C568" s="43"/>
      <c r="D568" s="43"/>
      <c r="E568" s="43"/>
      <c r="F568" s="43"/>
      <c r="G568" s="43"/>
      <c r="H568" s="43"/>
      <c r="I568" s="43"/>
      <c r="J568" s="223"/>
      <c r="K568" s="91"/>
      <c r="L568" s="91"/>
      <c r="M568" s="91"/>
      <c r="N568" s="561"/>
      <c r="O568" s="562"/>
      <c r="P568" s="562"/>
      <c r="Q568" s="562"/>
      <c r="R568" s="562"/>
      <c r="S568" s="563"/>
      <c r="T568" s="41"/>
    </row>
    <row r="569" spans="1:20" ht="15.75" thickBot="1" x14ac:dyDescent="0.3">
      <c r="A569" s="644" t="s">
        <v>952</v>
      </c>
      <c r="B569" s="645"/>
      <c r="C569" s="645"/>
      <c r="D569" s="645"/>
      <c r="E569" s="645"/>
      <c r="F569" s="645"/>
      <c r="G569" s="645"/>
      <c r="H569" s="645"/>
      <c r="I569" s="646"/>
      <c r="J569" s="647"/>
      <c r="K569" s="91"/>
      <c r="L569" s="91"/>
      <c r="M569" s="91"/>
      <c r="N569" s="561"/>
      <c r="O569" s="562"/>
      <c r="P569" s="562"/>
      <c r="Q569" s="562"/>
      <c r="R569" s="562"/>
      <c r="S569" s="563"/>
      <c r="T569" s="41"/>
    </row>
    <row r="570" spans="1:20" x14ac:dyDescent="0.25">
      <c r="A570" s="644"/>
      <c r="B570" s="645"/>
      <c r="C570" s="645"/>
      <c r="D570" s="645"/>
      <c r="E570" s="645"/>
      <c r="F570" s="645"/>
      <c r="G570" s="645"/>
      <c r="H570" s="645"/>
      <c r="I570" s="648" t="str">
        <f>IF($I$569&lt;&gt;"",IF(OR(ISNUMBER(VALUE(LEFT($I$569,3)))=FALSE,MID($I$569,4,1)&lt;&gt;"/",ISTEXT(IFERROR(VALUE(MID($I$569,5,1)),MID($I$569,5,1)))=FALSE),"Normally in format 123/A45678 or 123/AB45678",""),"")</f>
        <v/>
      </c>
      <c r="J570" s="649"/>
      <c r="K570" s="91"/>
      <c r="L570" s="91"/>
      <c r="M570" s="91"/>
      <c r="N570" s="561"/>
      <c r="O570" s="562"/>
      <c r="P570" s="562"/>
      <c r="Q570" s="562"/>
      <c r="R570" s="562"/>
      <c r="S570" s="563"/>
      <c r="T570" s="41"/>
    </row>
    <row r="571" spans="1:20" x14ac:dyDescent="0.25">
      <c r="A571" s="644"/>
      <c r="B571" s="645"/>
      <c r="C571" s="645"/>
      <c r="D571" s="645"/>
      <c r="E571" s="645"/>
      <c r="F571" s="645"/>
      <c r="G571" s="645"/>
      <c r="H571" s="645"/>
      <c r="I571" s="648"/>
      <c r="J571" s="649"/>
      <c r="K571" s="91"/>
      <c r="L571" s="91"/>
      <c r="M571" s="91"/>
      <c r="N571" s="561"/>
      <c r="O571" s="562"/>
      <c r="P571" s="562"/>
      <c r="Q571" s="562"/>
      <c r="R571" s="562"/>
      <c r="S571" s="563"/>
      <c r="T571" s="41"/>
    </row>
    <row r="572" spans="1:20" x14ac:dyDescent="0.25">
      <c r="A572" s="644"/>
      <c r="B572" s="645"/>
      <c r="C572" s="645"/>
      <c r="D572" s="645"/>
      <c r="E572" s="645"/>
      <c r="F572" s="645"/>
      <c r="G572" s="645"/>
      <c r="H572" s="645"/>
      <c r="I572" s="648"/>
      <c r="J572" s="649"/>
      <c r="K572" s="91"/>
      <c r="L572" s="91"/>
      <c r="M572" s="91"/>
      <c r="N572" s="561"/>
      <c r="O572" s="562"/>
      <c r="P572" s="562"/>
      <c r="Q572" s="562"/>
      <c r="R572" s="562"/>
      <c r="S572" s="563"/>
      <c r="T572" s="41"/>
    </row>
    <row r="573" spans="1:20" x14ac:dyDescent="0.25">
      <c r="A573" s="224"/>
      <c r="B573" s="225"/>
      <c r="C573" s="225"/>
      <c r="D573" s="225"/>
      <c r="E573" s="225"/>
      <c r="F573" s="225"/>
      <c r="G573" s="225"/>
      <c r="H573" s="225"/>
      <c r="I573" s="225"/>
      <c r="J573" s="226"/>
      <c r="K573" s="91"/>
      <c r="L573" s="41"/>
      <c r="M573" s="41"/>
      <c r="N573" s="561"/>
      <c r="O573" s="562"/>
      <c r="P573" s="562"/>
      <c r="Q573" s="562"/>
      <c r="R573" s="562"/>
      <c r="S573" s="563"/>
      <c r="T573" s="41"/>
    </row>
    <row r="574" spans="1:20" x14ac:dyDescent="0.25">
      <c r="A574" s="638" t="s">
        <v>872</v>
      </c>
      <c r="B574" s="639"/>
      <c r="C574" s="639"/>
      <c r="D574" s="639"/>
      <c r="E574" s="639"/>
      <c r="F574" s="639"/>
      <c r="G574" s="639"/>
      <c r="H574" s="639"/>
      <c r="I574" s="639"/>
      <c r="J574" s="640"/>
      <c r="K574" s="91"/>
      <c r="L574" s="41"/>
      <c r="M574" s="41"/>
      <c r="N574" s="561"/>
      <c r="O574" s="562"/>
      <c r="P574" s="562"/>
      <c r="Q574" s="562"/>
      <c r="R574" s="562"/>
      <c r="S574" s="563"/>
      <c r="T574" s="41"/>
    </row>
    <row r="575" spans="1:20" x14ac:dyDescent="0.25">
      <c r="A575" s="641"/>
      <c r="B575" s="642"/>
      <c r="C575" s="642"/>
      <c r="D575" s="642"/>
      <c r="E575" s="642"/>
      <c r="F575" s="642"/>
      <c r="G575" s="642"/>
      <c r="H575" s="642"/>
      <c r="I575" s="642"/>
      <c r="J575" s="643"/>
      <c r="K575" s="91"/>
      <c r="L575" s="41"/>
      <c r="M575" s="41"/>
      <c r="N575" s="561"/>
      <c r="O575" s="562"/>
      <c r="P575" s="562"/>
      <c r="Q575" s="562"/>
      <c r="R575" s="562"/>
      <c r="S575" s="563"/>
      <c r="T575" s="41"/>
    </row>
    <row r="576" spans="1:20" x14ac:dyDescent="0.25">
      <c r="A576" s="221"/>
      <c r="B576" s="221"/>
      <c r="C576" s="221"/>
      <c r="D576" s="221"/>
      <c r="E576" s="221"/>
      <c r="F576" s="221"/>
      <c r="G576" s="221"/>
      <c r="H576" s="221"/>
      <c r="I576" s="221"/>
      <c r="J576" s="221"/>
      <c r="K576" s="91"/>
      <c r="L576" s="41"/>
      <c r="M576" s="41"/>
      <c r="N576" s="561"/>
      <c r="O576" s="562"/>
      <c r="P576" s="562"/>
      <c r="Q576" s="562"/>
      <c r="R576" s="562"/>
      <c r="S576" s="563"/>
      <c r="T576" s="41"/>
    </row>
    <row r="577" spans="1:20" x14ac:dyDescent="0.25">
      <c r="A577" s="187"/>
      <c r="B577" s="187"/>
      <c r="C577" s="187"/>
      <c r="D577" s="187"/>
      <c r="E577" s="187"/>
      <c r="F577" s="187"/>
      <c r="G577" s="187"/>
      <c r="H577" s="187"/>
      <c r="I577" s="187"/>
      <c r="J577" s="187"/>
      <c r="K577" s="91"/>
      <c r="L577" s="41"/>
      <c r="M577" s="41"/>
      <c r="N577" s="561"/>
      <c r="O577" s="562"/>
      <c r="P577" s="562"/>
      <c r="Q577" s="562"/>
      <c r="R577" s="562"/>
      <c r="S577" s="563"/>
      <c r="T577" s="41"/>
    </row>
    <row r="578" spans="1:20" x14ac:dyDescent="0.25">
      <c r="A578" s="103" t="s">
        <v>873</v>
      </c>
      <c r="B578" s="45"/>
      <c r="C578" s="45"/>
      <c r="D578" s="45"/>
      <c r="E578" s="45"/>
      <c r="F578" s="45"/>
      <c r="G578" s="45"/>
      <c r="H578" s="45"/>
      <c r="I578" s="45"/>
      <c r="J578" s="45"/>
      <c r="K578" s="91"/>
      <c r="L578" s="41"/>
      <c r="M578" s="41"/>
      <c r="N578" s="561"/>
      <c r="O578" s="562"/>
      <c r="P578" s="562"/>
      <c r="Q578" s="562"/>
      <c r="R578" s="562"/>
      <c r="S578" s="563"/>
      <c r="T578" s="41"/>
    </row>
    <row r="579" spans="1:20" x14ac:dyDescent="0.25">
      <c r="A579" s="45"/>
      <c r="B579" s="650" t="s">
        <v>874</v>
      </c>
      <c r="C579" s="650"/>
      <c r="D579" s="650" t="s">
        <v>875</v>
      </c>
      <c r="E579" s="650"/>
      <c r="F579" s="188" t="s">
        <v>876</v>
      </c>
      <c r="G579" s="189" t="s">
        <v>877</v>
      </c>
      <c r="H579" s="189"/>
      <c r="I579" s="188" t="s">
        <v>878</v>
      </c>
      <c r="J579" s="45"/>
      <c r="K579" s="91"/>
      <c r="L579" s="41"/>
      <c r="M579" s="41"/>
      <c r="N579" s="561"/>
      <c r="O579" s="562"/>
      <c r="P579" s="562"/>
      <c r="Q579" s="562"/>
      <c r="R579" s="562"/>
      <c r="S579" s="563"/>
      <c r="T579" s="41"/>
    </row>
    <row r="580" spans="1:20" x14ac:dyDescent="0.25">
      <c r="A580" s="190"/>
      <c r="B580" s="651"/>
      <c r="C580" s="652"/>
      <c r="D580" s="653">
        <v>85210</v>
      </c>
      <c r="E580" s="653"/>
      <c r="F580" s="191" t="s">
        <v>879</v>
      </c>
      <c r="G580" s="652" t="s">
        <v>880</v>
      </c>
      <c r="H580" s="652"/>
      <c r="I580" s="192">
        <v>10</v>
      </c>
      <c r="J580" s="190"/>
      <c r="K580" s="91"/>
      <c r="L580" s="41"/>
      <c r="M580" s="41"/>
      <c r="N580" s="564"/>
      <c r="O580" s="565"/>
      <c r="P580" s="565"/>
      <c r="Q580" s="565"/>
      <c r="R580" s="565"/>
      <c r="S580" s="566"/>
      <c r="T580" s="41"/>
    </row>
    <row r="581" spans="1:20" x14ac:dyDescent="0.25">
      <c r="A581" s="45"/>
      <c r="B581" s="605" t="s">
        <v>881</v>
      </c>
      <c r="C581" s="605"/>
      <c r="D581" s="45"/>
      <c r="E581" s="45"/>
      <c r="F581" s="45"/>
      <c r="G581" s="606" t="s">
        <v>882</v>
      </c>
      <c r="H581" s="606"/>
      <c r="I581" s="45"/>
      <c r="J581" s="45"/>
      <c r="K581" s="91"/>
      <c r="L581" s="41"/>
      <c r="M581" s="41"/>
      <c r="N581" s="41"/>
      <c r="O581" s="41"/>
      <c r="P581" s="41"/>
      <c r="Q581" s="41"/>
      <c r="R581" s="41"/>
      <c r="S581" s="41"/>
      <c r="T581" s="41"/>
    </row>
    <row r="582" spans="1:20" x14ac:dyDescent="0.25">
      <c r="A582" s="45"/>
      <c r="B582" s="193" t="str">
        <f>CONCATENATE(IF(LEN($B$580)&lt;&gt;6,"must be 6 characters",""),IF(ISNUMBER(FIND("999",$B$580))," / can't use 999 code ! ",""))</f>
        <v>must be 6 characters</v>
      </c>
      <c r="C582" s="190"/>
      <c r="D582" s="194"/>
      <c r="E582" s="45"/>
      <c r="F582" s="45"/>
      <c r="G582" s="194" t="str">
        <f>IF(LEN($G$580)&lt;&gt;5,"must be 5 characters","")</f>
        <v/>
      </c>
      <c r="H582" s="45"/>
      <c r="I582" s="45"/>
      <c r="J582" s="45"/>
      <c r="K582" s="91"/>
      <c r="L582" s="41"/>
      <c r="M582" s="41"/>
      <c r="N582" s="41"/>
      <c r="O582" s="41"/>
      <c r="P582" s="41"/>
      <c r="Q582" s="41"/>
      <c r="R582" s="41"/>
      <c r="S582" s="41"/>
      <c r="T582" s="41"/>
    </row>
    <row r="583" spans="1:20" x14ac:dyDescent="0.25">
      <c r="A583" s="45"/>
      <c r="B583" s="45"/>
      <c r="C583" s="45"/>
      <c r="D583" s="45"/>
      <c r="E583" s="45"/>
      <c r="F583" s="45"/>
      <c r="G583" s="45"/>
      <c r="H583" s="45"/>
      <c r="I583" s="45"/>
      <c r="J583" s="45"/>
      <c r="K583" s="91"/>
      <c r="L583" s="41"/>
      <c r="M583" s="41"/>
      <c r="N583" s="41"/>
      <c r="O583" s="41"/>
      <c r="P583" s="41"/>
      <c r="Q583" s="41"/>
      <c r="R583" s="41"/>
      <c r="S583" s="41"/>
      <c r="T583" s="41"/>
    </row>
    <row r="584" spans="1:20" x14ac:dyDescent="0.25">
      <c r="A584" s="607" t="s">
        <v>918</v>
      </c>
      <c r="B584" s="608"/>
      <c r="C584" s="608"/>
      <c r="D584" s="608"/>
      <c r="E584" s="608"/>
      <c r="F584" s="608"/>
      <c r="G584" s="608"/>
      <c r="H584" s="608"/>
      <c r="I584" s="608"/>
      <c r="J584" s="609"/>
      <c r="K584" s="91"/>
      <c r="L584" s="41"/>
      <c r="M584" s="41"/>
      <c r="N584" s="41"/>
      <c r="O584" s="41"/>
      <c r="P584" s="41"/>
      <c r="Q584" s="41"/>
      <c r="R584" s="41"/>
      <c r="S584" s="41"/>
      <c r="T584" s="41"/>
    </row>
    <row r="585" spans="1:20" x14ac:dyDescent="0.25">
      <c r="A585" s="610"/>
      <c r="B585" s="611"/>
      <c r="C585" s="611"/>
      <c r="D585" s="611"/>
      <c r="E585" s="611"/>
      <c r="F585" s="611"/>
      <c r="G585" s="611"/>
      <c r="H585" s="611"/>
      <c r="I585" s="611"/>
      <c r="J585" s="612"/>
      <c r="K585" s="91"/>
      <c r="L585" s="41"/>
      <c r="M585" s="41"/>
      <c r="N585" s="41"/>
      <c r="O585" s="41"/>
      <c r="P585" s="41"/>
      <c r="Q585" s="41"/>
      <c r="R585" s="41"/>
      <c r="S585" s="41"/>
      <c r="T585" s="41"/>
    </row>
    <row r="586" spans="1:20" x14ac:dyDescent="0.25">
      <c r="A586" s="613"/>
      <c r="B586" s="614"/>
      <c r="C586" s="614"/>
      <c r="D586" s="614"/>
      <c r="E586" s="614"/>
      <c r="F586" s="614"/>
      <c r="G586" s="614"/>
      <c r="H586" s="614"/>
      <c r="I586" s="614"/>
      <c r="J586" s="615"/>
      <c r="K586" s="91"/>
      <c r="L586" s="41"/>
      <c r="M586" s="41"/>
      <c r="N586" s="41"/>
      <c r="O586" s="41"/>
      <c r="P586" s="41"/>
      <c r="Q586" s="41"/>
      <c r="R586" s="41"/>
      <c r="S586" s="41"/>
      <c r="T586" s="41"/>
    </row>
    <row r="587" spans="1:20" x14ac:dyDescent="0.25">
      <c r="A587" s="616" t="s">
        <v>986</v>
      </c>
      <c r="B587" s="617"/>
      <c r="C587" s="617"/>
      <c r="D587" s="617"/>
      <c r="E587" s="617"/>
      <c r="F587" s="617"/>
      <c r="G587" s="617"/>
      <c r="H587" s="617"/>
      <c r="I587" s="617"/>
      <c r="J587" s="618"/>
      <c r="K587" s="91"/>
      <c r="L587" s="41"/>
      <c r="M587" s="41"/>
      <c r="N587" s="41"/>
      <c r="O587" s="41"/>
      <c r="P587" s="41"/>
      <c r="Q587" s="41"/>
      <c r="R587" s="41"/>
      <c r="S587" s="41"/>
      <c r="T587" s="41"/>
    </row>
    <row r="588" spans="1:20" x14ac:dyDescent="0.25">
      <c r="A588" s="619"/>
      <c r="B588" s="620"/>
      <c r="C588" s="620"/>
      <c r="D588" s="620"/>
      <c r="E588" s="620"/>
      <c r="F588" s="620"/>
      <c r="G588" s="620"/>
      <c r="H588" s="620"/>
      <c r="I588" s="620"/>
      <c r="J588" s="621"/>
      <c r="K588" s="91"/>
      <c r="L588" s="41"/>
      <c r="M588" s="41"/>
      <c r="N588" s="41"/>
      <c r="O588" s="41"/>
      <c r="P588" s="41"/>
      <c r="Q588" s="41"/>
      <c r="R588" s="41"/>
      <c r="S588" s="41"/>
      <c r="T588" s="41"/>
    </row>
    <row r="589" spans="1:20" x14ac:dyDescent="0.25">
      <c r="A589" s="622"/>
      <c r="B589" s="623"/>
      <c r="C589" s="623"/>
      <c r="D589" s="623"/>
      <c r="E589" s="623"/>
      <c r="F589" s="623"/>
      <c r="G589" s="623"/>
      <c r="H589" s="623"/>
      <c r="I589" s="623"/>
      <c r="J589" s="624"/>
      <c r="K589" s="91"/>
      <c r="L589" s="41"/>
      <c r="M589" s="41"/>
      <c r="N589" s="41"/>
      <c r="O589" s="41"/>
      <c r="P589" s="41"/>
      <c r="Q589" s="41"/>
      <c r="R589" s="41"/>
      <c r="S589" s="41"/>
      <c r="T589" s="41"/>
    </row>
    <row r="590" spans="1:20" ht="15.75" thickBot="1" x14ac:dyDescent="0.3">
      <c r="A590" s="195"/>
      <c r="B590" s="195"/>
      <c r="C590" s="195"/>
      <c r="D590" s="195"/>
      <c r="E590" s="195"/>
      <c r="F590" s="195"/>
      <c r="G590" s="195"/>
      <c r="H590" s="195"/>
      <c r="I590" s="195"/>
      <c r="J590" s="195"/>
      <c r="K590" s="91"/>
      <c r="L590" s="41"/>
      <c r="M590" s="41"/>
      <c r="N590" s="41"/>
      <c r="O590" s="41"/>
      <c r="P590" s="41"/>
      <c r="Q590" s="41"/>
      <c r="R590" s="41"/>
      <c r="S590" s="41"/>
      <c r="T590" s="41"/>
    </row>
    <row r="591" spans="1:20" ht="15.75" thickBot="1" x14ac:dyDescent="0.3">
      <c r="A591" s="45"/>
      <c r="B591" s="150"/>
      <c r="C591" s="150" t="s">
        <v>865</v>
      </c>
      <c r="D591" s="504"/>
      <c r="E591" s="505"/>
      <c r="F591" s="505"/>
      <c r="G591" s="505"/>
      <c r="H591" s="505"/>
      <c r="I591" s="506"/>
      <c r="J591" s="45"/>
      <c r="K591" s="91"/>
      <c r="L591" s="41"/>
      <c r="M591" s="41"/>
      <c r="N591" s="558"/>
      <c r="O591" s="559"/>
      <c r="P591" s="559"/>
      <c r="Q591" s="559"/>
      <c r="R591" s="559"/>
      <c r="S591" s="560"/>
      <c r="T591" s="41"/>
    </row>
    <row r="592" spans="1:20" ht="15.75" thickBot="1" x14ac:dyDescent="0.3">
      <c r="A592" s="45"/>
      <c r="B592" s="150"/>
      <c r="C592" s="150" t="s">
        <v>866</v>
      </c>
      <c r="D592" s="504"/>
      <c r="E592" s="505"/>
      <c r="F592" s="505"/>
      <c r="G592" s="505"/>
      <c r="H592" s="505"/>
      <c r="I592" s="506"/>
      <c r="J592" s="45"/>
      <c r="K592" s="91"/>
      <c r="L592" s="41"/>
      <c r="M592" s="41"/>
      <c r="N592" s="561"/>
      <c r="O592" s="562"/>
      <c r="P592" s="562"/>
      <c r="Q592" s="562"/>
      <c r="R592" s="562"/>
      <c r="S592" s="563"/>
      <c r="T592" s="41"/>
    </row>
    <row r="593" spans="1:20" ht="15.75" thickBot="1" x14ac:dyDescent="0.3">
      <c r="A593" s="45"/>
      <c r="B593" s="150"/>
      <c r="C593" s="150" t="s">
        <v>883</v>
      </c>
      <c r="D593" s="625"/>
      <c r="E593" s="626"/>
      <c r="F593" s="626"/>
      <c r="G593" s="626"/>
      <c r="H593" s="626"/>
      <c r="I593" s="627"/>
      <c r="J593" s="45"/>
      <c r="K593" s="91"/>
      <c r="L593" s="41"/>
      <c r="M593" s="41"/>
      <c r="N593" s="561"/>
      <c r="O593" s="562"/>
      <c r="P593" s="562"/>
      <c r="Q593" s="562"/>
      <c r="R593" s="562"/>
      <c r="S593" s="563"/>
      <c r="T593" s="41"/>
    </row>
    <row r="594" spans="1:20" ht="15.75" thickBot="1" x14ac:dyDescent="0.3">
      <c r="A594" s="45"/>
      <c r="B594" s="150"/>
      <c r="C594" s="150" t="s">
        <v>868</v>
      </c>
      <c r="D594" s="504"/>
      <c r="E594" s="505"/>
      <c r="F594" s="505"/>
      <c r="G594" s="505"/>
      <c r="H594" s="505"/>
      <c r="I594" s="506"/>
      <c r="J594" s="45"/>
      <c r="K594" s="91"/>
      <c r="L594" s="41"/>
      <c r="M594" s="41"/>
      <c r="N594" s="561"/>
      <c r="O594" s="562"/>
      <c r="P594" s="562"/>
      <c r="Q594" s="562"/>
      <c r="R594" s="562"/>
      <c r="S594" s="563"/>
      <c r="T594" s="41"/>
    </row>
    <row r="595" spans="1:20" ht="15.75" thickBot="1" x14ac:dyDescent="0.3">
      <c r="A595" s="45"/>
      <c r="B595" s="150"/>
      <c r="C595" s="150" t="s">
        <v>869</v>
      </c>
      <c r="D595" s="628"/>
      <c r="E595" s="629"/>
      <c r="F595" s="629"/>
      <c r="G595" s="629"/>
      <c r="H595" s="629"/>
      <c r="I595" s="630"/>
      <c r="J595" s="45"/>
      <c r="K595" s="91"/>
      <c r="L595" s="41"/>
      <c r="M595" s="41"/>
      <c r="N595" s="561"/>
      <c r="O595" s="562"/>
      <c r="P595" s="562"/>
      <c r="Q595" s="562"/>
      <c r="R595" s="562"/>
      <c r="S595" s="563"/>
      <c r="T595" s="41"/>
    </row>
    <row r="596" spans="1:20" ht="15.75" thickBot="1" x14ac:dyDescent="0.3">
      <c r="A596" s="45"/>
      <c r="B596" s="150"/>
      <c r="C596" s="150" t="s">
        <v>870</v>
      </c>
      <c r="D596" s="603"/>
      <c r="E596" s="505"/>
      <c r="F596" s="505"/>
      <c r="G596" s="505"/>
      <c r="H596" s="505"/>
      <c r="I596" s="506"/>
      <c r="J596" s="45"/>
      <c r="K596" s="91"/>
      <c r="L596" s="41"/>
      <c r="M596" s="41"/>
      <c r="N596" s="561"/>
      <c r="O596" s="562"/>
      <c r="P596" s="562"/>
      <c r="Q596" s="562"/>
      <c r="R596" s="562"/>
      <c r="S596" s="563"/>
      <c r="T596" s="41"/>
    </row>
    <row r="597" spans="1:20" x14ac:dyDescent="0.25">
      <c r="A597" s="45"/>
      <c r="B597" s="45"/>
      <c r="C597" s="45"/>
      <c r="D597" s="604" t="str">
        <f>IF($D$596&lt;&gt;"",IF(OR(LEFT($D$596,1)=" ",RIGHT($D$596,1)=" "),"Please remove space at beginning or end of email address",IF(RIGHT($D$596,9)&lt;&gt;".ox.ac.uk","Please list Oxford email address","")),"")</f>
        <v/>
      </c>
      <c r="E597" s="604"/>
      <c r="F597" s="604"/>
      <c r="G597" s="604"/>
      <c r="H597" s="604"/>
      <c r="I597" s="604"/>
      <c r="J597" s="45"/>
      <c r="K597" s="91"/>
      <c r="L597" s="41"/>
      <c r="M597" s="41"/>
      <c r="N597" s="564"/>
      <c r="O597" s="565"/>
      <c r="P597" s="565"/>
      <c r="Q597" s="565"/>
      <c r="R597" s="565"/>
      <c r="S597" s="566"/>
      <c r="T597" s="41"/>
    </row>
    <row r="598" spans="1:20" x14ac:dyDescent="0.25">
      <c r="A598" s="44" t="s">
        <v>696</v>
      </c>
      <c r="B598" s="45"/>
      <c r="C598" s="45"/>
      <c r="D598" s="45"/>
      <c r="E598" s="45"/>
      <c r="F598" s="45"/>
      <c r="G598" s="45"/>
      <c r="H598" s="45"/>
      <c r="I598" s="45"/>
      <c r="J598" s="45"/>
      <c r="K598" s="91"/>
      <c r="L598" s="41"/>
      <c r="M598" s="41"/>
      <c r="N598" s="41"/>
      <c r="O598" s="41"/>
      <c r="P598" s="41"/>
      <c r="Q598" s="41"/>
      <c r="R598" s="41"/>
      <c r="S598" s="41"/>
      <c r="T598" s="41"/>
    </row>
    <row r="599" spans="1:20" x14ac:dyDescent="0.25">
      <c r="A599" s="44" t="s">
        <v>697</v>
      </c>
      <c r="B599" s="44"/>
      <c r="C599" s="44"/>
      <c r="D599" s="44"/>
      <c r="E599" s="44"/>
      <c r="F599" s="44"/>
      <c r="G599" s="44"/>
      <c r="H599" s="44"/>
      <c r="I599" s="44"/>
      <c r="J599" s="44"/>
      <c r="K599" s="91"/>
      <c r="L599" s="41"/>
      <c r="M599" s="41"/>
      <c r="N599" s="41"/>
      <c r="O599" s="41"/>
      <c r="P599" s="41"/>
      <c r="Q599" s="41"/>
      <c r="R599" s="41"/>
      <c r="S599" s="41"/>
      <c r="T599" s="41"/>
    </row>
    <row r="600" spans="1:20" x14ac:dyDescent="0.25">
      <c r="A600" s="44"/>
      <c r="B600" s="44"/>
      <c r="C600" s="44"/>
      <c r="D600" s="44"/>
      <c r="E600" s="44"/>
      <c r="F600" s="44"/>
      <c r="G600" s="44"/>
      <c r="H600" s="46"/>
      <c r="I600" s="46"/>
      <c r="J600" s="47"/>
      <c r="K600" s="91"/>
      <c r="L600" s="41"/>
      <c r="M600" s="41"/>
      <c r="N600" s="41"/>
      <c r="O600" s="41"/>
      <c r="P600" s="41"/>
      <c r="Q600" s="41"/>
      <c r="R600" s="41"/>
      <c r="S600" s="41"/>
      <c r="T600" s="41"/>
    </row>
    <row r="601" spans="1:20" ht="15.75" x14ac:dyDescent="0.25">
      <c r="A601" s="48" t="s">
        <v>698</v>
      </c>
      <c r="B601" s="45"/>
      <c r="C601" s="45"/>
      <c r="D601" s="45"/>
      <c r="E601" s="45"/>
      <c r="F601" s="45"/>
      <c r="G601" s="45"/>
      <c r="H601" s="46"/>
      <c r="I601" s="46"/>
      <c r="J601" s="49"/>
      <c r="K601" s="41"/>
      <c r="L601" s="41"/>
      <c r="M601" s="41"/>
      <c r="N601" s="41"/>
      <c r="O601" s="41"/>
      <c r="P601" s="41"/>
      <c r="Q601" s="41"/>
      <c r="R601" s="41"/>
      <c r="S601" s="41"/>
      <c r="T601" s="41"/>
    </row>
    <row r="602" spans="1:20" x14ac:dyDescent="0.25">
      <c r="A602" s="778" t="s">
        <v>898</v>
      </c>
      <c r="B602" s="778"/>
      <c r="C602" s="778"/>
      <c r="D602" s="778"/>
      <c r="E602" s="778"/>
      <c r="F602" s="45"/>
      <c r="G602" s="45"/>
      <c r="H602" s="49"/>
      <c r="I602" s="49"/>
      <c r="J602" s="49"/>
      <c r="K602" s="41"/>
      <c r="L602" s="41"/>
      <c r="M602" s="41"/>
      <c r="N602" s="41"/>
      <c r="O602" s="41"/>
      <c r="P602" s="41"/>
      <c r="Q602" s="41"/>
      <c r="R602" s="41"/>
      <c r="S602" s="41"/>
      <c r="T602" s="41"/>
    </row>
    <row r="603" spans="1:20" x14ac:dyDescent="0.25">
      <c r="A603" s="207"/>
      <c r="B603" s="207"/>
      <c r="C603" s="207"/>
      <c r="D603" s="207"/>
      <c r="E603" s="207"/>
      <c r="F603" s="45"/>
      <c r="G603" s="45"/>
      <c r="H603" s="49"/>
      <c r="I603" s="49"/>
      <c r="J603" s="49"/>
      <c r="K603" s="41"/>
      <c r="L603" s="41"/>
      <c r="M603" s="41"/>
      <c r="N603" s="41"/>
      <c r="O603" s="41"/>
      <c r="P603" s="41"/>
      <c r="Q603" s="41"/>
      <c r="R603" s="41"/>
      <c r="S603" s="41"/>
      <c r="T603" s="41"/>
    </row>
    <row r="604" spans="1:20" x14ac:dyDescent="0.25">
      <c r="A604" s="527" t="s">
        <v>1187</v>
      </c>
      <c r="B604" s="775"/>
      <c r="C604" s="775"/>
      <c r="D604" s="775"/>
      <c r="E604" s="545" t="s">
        <v>1183</v>
      </c>
      <c r="F604" s="545"/>
      <c r="G604" s="545"/>
      <c r="H604" s="545"/>
      <c r="I604" s="49"/>
      <c r="J604" s="49"/>
      <c r="K604" s="41"/>
      <c r="L604" s="41"/>
      <c r="M604" s="41"/>
      <c r="N604" s="41"/>
      <c r="O604" s="41"/>
      <c r="P604" s="41"/>
      <c r="Q604" s="41"/>
      <c r="R604" s="41"/>
      <c r="S604" s="41"/>
      <c r="T604" s="41"/>
    </row>
    <row r="605" spans="1:20" x14ac:dyDescent="0.25">
      <c r="A605" s="527" t="s">
        <v>1058</v>
      </c>
      <c r="B605" s="775"/>
      <c r="C605" s="775"/>
      <c r="D605" s="775"/>
      <c r="E605" s="816" t="s">
        <v>1122</v>
      </c>
      <c r="F605" s="816"/>
      <c r="G605" s="816"/>
      <c r="H605" s="816"/>
      <c r="I605" s="45"/>
      <c r="J605" s="45"/>
      <c r="K605" s="41"/>
      <c r="L605" s="41"/>
      <c r="M605" s="41"/>
      <c r="N605" s="41"/>
      <c r="O605" s="41"/>
      <c r="P605" s="41"/>
      <c r="Q605" s="41"/>
      <c r="R605" s="41"/>
      <c r="S605" s="41"/>
      <c r="T605" s="41"/>
    </row>
    <row r="606" spans="1:20" s="269" customFormat="1" x14ac:dyDescent="0.25">
      <c r="A606" s="527" t="s">
        <v>1157</v>
      </c>
      <c r="B606" s="527"/>
      <c r="C606" s="527"/>
      <c r="D606" s="527"/>
      <c r="E606" s="545" t="s">
        <v>1158</v>
      </c>
      <c r="F606" s="545"/>
      <c r="G606" s="545"/>
      <c r="H606" s="545"/>
      <c r="I606" s="45"/>
      <c r="J606" s="45"/>
      <c r="K606" s="41"/>
      <c r="L606" s="41"/>
      <c r="M606" s="41"/>
      <c r="N606" s="41"/>
      <c r="O606" s="41"/>
      <c r="P606" s="41"/>
      <c r="Q606" s="41"/>
      <c r="R606" s="41"/>
      <c r="S606" s="41"/>
      <c r="T606" s="41"/>
    </row>
    <row r="607" spans="1:20" x14ac:dyDescent="0.25">
      <c r="A607" s="213" t="s">
        <v>899</v>
      </c>
      <c r="B607" s="45"/>
      <c r="C607" s="45"/>
      <c r="D607" s="45"/>
      <c r="E607" s="45"/>
      <c r="F607" s="45"/>
      <c r="G607" s="45"/>
      <c r="H607" s="45"/>
      <c r="I607" s="45"/>
      <c r="J607" s="45"/>
      <c r="K607" s="41"/>
      <c r="L607" s="41"/>
      <c r="M607" s="41"/>
      <c r="N607" s="41"/>
      <c r="O607" s="41"/>
      <c r="P607" s="41"/>
      <c r="Q607" s="41"/>
      <c r="R607" s="41"/>
      <c r="S607" s="41"/>
      <c r="T607" s="41"/>
    </row>
    <row r="608" spans="1:20" x14ac:dyDescent="0.25">
      <c r="A608" s="527" t="s">
        <v>1059</v>
      </c>
      <c r="B608" s="775"/>
      <c r="C608" s="775"/>
      <c r="D608" s="775"/>
      <c r="E608" s="776" t="s">
        <v>1061</v>
      </c>
      <c r="F608" s="777"/>
      <c r="G608" s="777"/>
      <c r="H608" s="777"/>
      <c r="I608" s="45"/>
      <c r="J608" s="45"/>
      <c r="K608" s="41"/>
      <c r="L608" s="41"/>
      <c r="M608" s="41"/>
      <c r="N608" s="41"/>
      <c r="O608" s="41"/>
      <c r="P608" s="41"/>
      <c r="Q608" s="41"/>
      <c r="R608" s="41"/>
      <c r="S608" s="41"/>
      <c r="T608" s="41"/>
    </row>
    <row r="609" spans="1:20" x14ac:dyDescent="0.25">
      <c r="A609" s="527" t="s">
        <v>1060</v>
      </c>
      <c r="B609" s="775"/>
      <c r="C609" s="775"/>
      <c r="D609" s="775"/>
      <c r="E609" s="776" t="s">
        <v>1062</v>
      </c>
      <c r="F609" s="777"/>
      <c r="G609" s="777"/>
      <c r="H609" s="777"/>
      <c r="I609" s="45"/>
      <c r="J609" s="442"/>
      <c r="K609" s="41"/>
      <c r="L609" s="41"/>
      <c r="M609" s="41"/>
      <c r="N609" s="41"/>
      <c r="O609" s="41"/>
      <c r="P609" s="41"/>
      <c r="Q609" s="41"/>
      <c r="R609" s="41"/>
      <c r="S609" s="41"/>
      <c r="T609" s="41"/>
    </row>
    <row r="610" spans="1:20" s="269" customFormat="1" x14ac:dyDescent="0.25">
      <c r="A610" s="527" t="s">
        <v>1155</v>
      </c>
      <c r="B610" s="527"/>
      <c r="C610" s="527"/>
      <c r="D610" s="527"/>
      <c r="E610" s="545" t="s">
        <v>1156</v>
      </c>
      <c r="F610" s="545"/>
      <c r="G610" s="545"/>
      <c r="H610" s="545"/>
      <c r="I610" s="45"/>
      <c r="J610" s="165" t="s">
        <v>1189</v>
      </c>
      <c r="K610" s="41"/>
      <c r="L610" s="41"/>
      <c r="M610" s="41"/>
      <c r="N610" s="41"/>
      <c r="O610" s="41"/>
      <c r="P610" s="41"/>
      <c r="Q610" s="41"/>
      <c r="R610" s="41"/>
      <c r="S610" s="41"/>
      <c r="T610" s="41"/>
    </row>
    <row r="611" spans="1:20" x14ac:dyDescent="0.25">
      <c r="A611" s="804" t="s">
        <v>900</v>
      </c>
      <c r="B611" s="804"/>
      <c r="C611" s="804"/>
      <c r="D611" s="804"/>
      <c r="E611" s="442"/>
      <c r="F611" s="442"/>
      <c r="G611" s="442"/>
      <c r="H611" s="442"/>
      <c r="I611" s="806">
        <v>46031</v>
      </c>
      <c r="J611" s="806"/>
      <c r="K611" s="42"/>
      <c r="L611" s="42"/>
      <c r="M611" s="42"/>
      <c r="N611" s="42"/>
      <c r="O611" s="42"/>
      <c r="P611" s="42"/>
      <c r="Q611" s="42"/>
      <c r="R611" s="42"/>
      <c r="S611" s="42"/>
      <c r="T611" s="42"/>
    </row>
  </sheetData>
  <sheetProtection algorithmName="SHA-512" hashValue="PXB975y0YDJMBuLL8iZ3VcyisVEDOWQPvlhvuZDarpjLJMYmE0y52Y6V7oWWInbuy2pjKmJPb6HgseMin0aotA==" saltValue="IXPwIrciPTasWPzhqO90CQ==" spinCount="100000" sheet="1" objects="1" scenarios="1"/>
  <protectedRanges>
    <protectedRange algorithmName="SHA-512" hashValue="aRjr4NDBGymWz689kfHj8EKCHiZKoi8vl+qLNjZ3yOuaj+4NFGbN4fsUNkfVWj02qd/hVFqWIZxFV12SGAgJSg==" saltValue="0SvFl88t/+FZ5FIHyWHqbQ==" spinCount="100000" sqref="L17 N81:T611" name="SIT boxes and comments" securityDescriptor="O:WDG:WDD:(A;;CC;;;S-1-5-21-2510641317-1238086002-3281934144-14779)(A;;CC;;;S-1-5-21-2510641317-1238086002-3281934144-21730)(A;;CC;;;S-1-5-21-2510641317-1238086002-3281934144-38373)(A;;CC;;;S-1-5-21-2510641317-1238086002-3281934144-38374)(A;;CC;;;S-1-5-21-2510641317-1238086002-3281934144-39544)(A;;CC;;;S-1-5-21-2510641317-1238086002-3281934144-44782)(A;;CC;;;S-1-5-21-2510641317-1238086002-3281934144-50719)(A;;CC;;;S-1-5-21-2510641317-1238086002-3281934144-6263)"/>
  </protectedRanges>
  <mergeCells count="343">
    <mergeCell ref="A69:E69"/>
    <mergeCell ref="A66:E66"/>
    <mergeCell ref="F66:J66"/>
    <mergeCell ref="F69:J69"/>
    <mergeCell ref="N237:S242"/>
    <mergeCell ref="A194:I197"/>
    <mergeCell ref="J194:J195"/>
    <mergeCell ref="N194:S201"/>
    <mergeCell ref="A198:I201"/>
    <mergeCell ref="J199:J200"/>
    <mergeCell ref="A118:J120"/>
    <mergeCell ref="N191:S191"/>
    <mergeCell ref="N167:S168"/>
    <mergeCell ref="N170:S177"/>
    <mergeCell ref="N181:S181"/>
    <mergeCell ref="N184:S188"/>
    <mergeCell ref="N158:S160"/>
    <mergeCell ref="N162:S164"/>
    <mergeCell ref="A177:D177"/>
    <mergeCell ref="E177:J177"/>
    <mergeCell ref="C168:F168"/>
    <mergeCell ref="A170:D170"/>
    <mergeCell ref="E170:J170"/>
    <mergeCell ref="E172:J172"/>
    <mergeCell ref="N284:S285"/>
    <mergeCell ref="B504:I506"/>
    <mergeCell ref="B478:H478"/>
    <mergeCell ref="B480:I484"/>
    <mergeCell ref="B508:I509"/>
    <mergeCell ref="B487:I493"/>
    <mergeCell ref="B495:I502"/>
    <mergeCell ref="N467:S478"/>
    <mergeCell ref="B470:I473"/>
    <mergeCell ref="B449:H449"/>
    <mergeCell ref="D378:J378"/>
    <mergeCell ref="A379:D379"/>
    <mergeCell ref="N363:S379"/>
    <mergeCell ref="A431:J434"/>
    <mergeCell ref="A435:J436"/>
    <mergeCell ref="N422:S436"/>
    <mergeCell ref="A437:J439"/>
    <mergeCell ref="A442:J443"/>
    <mergeCell ref="A421:J422"/>
    <mergeCell ref="A284:I287"/>
    <mergeCell ref="A364:D364"/>
    <mergeCell ref="E364:I364"/>
    <mergeCell ref="A290:I291"/>
    <mergeCell ref="J289:J291"/>
    <mergeCell ref="A611:D611"/>
    <mergeCell ref="A564:J564"/>
    <mergeCell ref="I611:J611"/>
    <mergeCell ref="A390:J390"/>
    <mergeCell ref="A361:J361"/>
    <mergeCell ref="A366:J367"/>
    <mergeCell ref="A376:F376"/>
    <mergeCell ref="A423:J426"/>
    <mergeCell ref="E314:J314"/>
    <mergeCell ref="E315:J315"/>
    <mergeCell ref="J406:J408"/>
    <mergeCell ref="A354:J354"/>
    <mergeCell ref="A460:I462"/>
    <mergeCell ref="E604:H604"/>
    <mergeCell ref="A330:J342"/>
    <mergeCell ref="A608:D608"/>
    <mergeCell ref="E606:H606"/>
    <mergeCell ref="A606:D606"/>
    <mergeCell ref="A610:D610"/>
    <mergeCell ref="E610:H610"/>
    <mergeCell ref="E605:H605"/>
    <mergeCell ref="A604:D604"/>
    <mergeCell ref="A605:D605"/>
    <mergeCell ref="A539:J540"/>
    <mergeCell ref="A281:J281"/>
    <mergeCell ref="A153:G153"/>
    <mergeCell ref="A609:D609"/>
    <mergeCell ref="E608:H608"/>
    <mergeCell ref="E609:H609"/>
    <mergeCell ref="A602:E602"/>
    <mergeCell ref="B530:I532"/>
    <mergeCell ref="E158:J158"/>
    <mergeCell ref="A174:J174"/>
    <mergeCell ref="E164:J164"/>
    <mergeCell ref="A165:J165"/>
    <mergeCell ref="A167:C167"/>
    <mergeCell ref="D167:E167"/>
    <mergeCell ref="E159:J159"/>
    <mergeCell ref="E160:J160"/>
    <mergeCell ref="B161:I161"/>
    <mergeCell ref="A176:D176"/>
    <mergeCell ref="E176:J176"/>
    <mergeCell ref="E173:J173"/>
    <mergeCell ref="E163:J163"/>
    <mergeCell ref="A349:J353"/>
    <mergeCell ref="A358:J359"/>
    <mergeCell ref="E363:I363"/>
    <mergeCell ref="A179:J179"/>
    <mergeCell ref="A59:J59"/>
    <mergeCell ref="A61:J62"/>
    <mergeCell ref="A65:E65"/>
    <mergeCell ref="F65:J65"/>
    <mergeCell ref="A68:E68"/>
    <mergeCell ref="F68:J68"/>
    <mergeCell ref="A72:J74"/>
    <mergeCell ref="A76:J77"/>
    <mergeCell ref="A148:J148"/>
    <mergeCell ref="A92:H92"/>
    <mergeCell ref="B123:I124"/>
    <mergeCell ref="A85:J87"/>
    <mergeCell ref="I92:J92"/>
    <mergeCell ref="B93:H93"/>
    <mergeCell ref="B144:I145"/>
    <mergeCell ref="A147:J147"/>
    <mergeCell ref="B134:F134"/>
    <mergeCell ref="B140:G140"/>
    <mergeCell ref="B125:G125"/>
    <mergeCell ref="A95:J95"/>
    <mergeCell ref="A79:J79"/>
    <mergeCell ref="A96:J97"/>
    <mergeCell ref="A98:J100"/>
    <mergeCell ref="B108:I110"/>
    <mergeCell ref="L60:S60"/>
    <mergeCell ref="E157:J157"/>
    <mergeCell ref="N81:S86"/>
    <mergeCell ref="S63:T63"/>
    <mergeCell ref="A70:J70"/>
    <mergeCell ref="A67:J67"/>
    <mergeCell ref="B131:I133"/>
    <mergeCell ref="N122:S145"/>
    <mergeCell ref="N89:S93"/>
    <mergeCell ref="N153:S156"/>
    <mergeCell ref="N97:S113"/>
    <mergeCell ref="B113:I115"/>
    <mergeCell ref="A151:J152"/>
    <mergeCell ref="H141:I141"/>
    <mergeCell ref="A141:G141"/>
    <mergeCell ref="A149:J149"/>
    <mergeCell ref="B138:I139"/>
    <mergeCell ref="I153:J153"/>
    <mergeCell ref="A154:D154"/>
    <mergeCell ref="E154:J154"/>
    <mergeCell ref="A155:D155"/>
    <mergeCell ref="E155:J155"/>
    <mergeCell ref="A156:D156"/>
    <mergeCell ref="E156:J156"/>
    <mergeCell ref="N204:S217"/>
    <mergeCell ref="N246:S246"/>
    <mergeCell ref="F264:H264"/>
    <mergeCell ref="N264:S279"/>
    <mergeCell ref="B210:E210"/>
    <mergeCell ref="A216:J216"/>
    <mergeCell ref="E265:I265"/>
    <mergeCell ref="J217:J218"/>
    <mergeCell ref="F246:I246"/>
    <mergeCell ref="A215:J215"/>
    <mergeCell ref="A217:I218"/>
    <mergeCell ref="A266:J266"/>
    <mergeCell ref="A220:J220"/>
    <mergeCell ref="A234:H235"/>
    <mergeCell ref="A227:J230"/>
    <mergeCell ref="A221:J225"/>
    <mergeCell ref="A233:H233"/>
    <mergeCell ref="G240:I240"/>
    <mergeCell ref="A240:F240"/>
    <mergeCell ref="A203:J209"/>
    <mergeCell ref="A211:J213"/>
    <mergeCell ref="A236:J236"/>
    <mergeCell ref="D248:J248"/>
    <mergeCell ref="N221:S235"/>
    <mergeCell ref="N289:S291"/>
    <mergeCell ref="N302:S307"/>
    <mergeCell ref="N293:S293"/>
    <mergeCell ref="E305:J305"/>
    <mergeCell ref="E306:J306"/>
    <mergeCell ref="E307:J307"/>
    <mergeCell ref="E295:J295"/>
    <mergeCell ref="E303:J303"/>
    <mergeCell ref="E304:J304"/>
    <mergeCell ref="A289:I289"/>
    <mergeCell ref="E298:J298"/>
    <mergeCell ref="E299:J299"/>
    <mergeCell ref="E300:J300"/>
    <mergeCell ref="E302:J302"/>
    <mergeCell ref="N310:S315"/>
    <mergeCell ref="E311:J311"/>
    <mergeCell ref="E312:J312"/>
    <mergeCell ref="E313:J313"/>
    <mergeCell ref="N295:S300"/>
    <mergeCell ref="E296:J296"/>
    <mergeCell ref="E297:J297"/>
    <mergeCell ref="N326:S327"/>
    <mergeCell ref="B327:I327"/>
    <mergeCell ref="E310:J310"/>
    <mergeCell ref="A182:J182"/>
    <mergeCell ref="E186:J186"/>
    <mergeCell ref="E187:J187"/>
    <mergeCell ref="E188:J188"/>
    <mergeCell ref="E190:J190"/>
    <mergeCell ref="A183:J183"/>
    <mergeCell ref="E189:J189"/>
    <mergeCell ref="A242:D242"/>
    <mergeCell ref="E242:J242"/>
    <mergeCell ref="A232:J232"/>
    <mergeCell ref="A237:F239"/>
    <mergeCell ref="G239:J239"/>
    <mergeCell ref="E184:J184"/>
    <mergeCell ref="E185:J185"/>
    <mergeCell ref="F267:H267"/>
    <mergeCell ref="A273:E275"/>
    <mergeCell ref="A276:E278"/>
    <mergeCell ref="A279:J280"/>
    <mergeCell ref="F247:I247"/>
    <mergeCell ref="I234:J235"/>
    <mergeCell ref="A241:J241"/>
    <mergeCell ref="E191:J191"/>
    <mergeCell ref="N551:S558"/>
    <mergeCell ref="A555:I556"/>
    <mergeCell ref="A552:I553"/>
    <mergeCell ref="N522:S532"/>
    <mergeCell ref="B522:I528"/>
    <mergeCell ref="A411:J415"/>
    <mergeCell ref="A409:J410"/>
    <mergeCell ref="A416:J419"/>
    <mergeCell ref="A420:J420"/>
    <mergeCell ref="B474:H474"/>
    <mergeCell ref="B476:I477"/>
    <mergeCell ref="N456:S462"/>
    <mergeCell ref="B454:H454"/>
    <mergeCell ref="A456:I457"/>
    <mergeCell ref="A458:I459"/>
    <mergeCell ref="B511:I512"/>
    <mergeCell ref="A574:J575"/>
    <mergeCell ref="A566:J567"/>
    <mergeCell ref="A569:H572"/>
    <mergeCell ref="I569:J569"/>
    <mergeCell ref="I570:J572"/>
    <mergeCell ref="B579:C579"/>
    <mergeCell ref="D579:E579"/>
    <mergeCell ref="B580:C580"/>
    <mergeCell ref="D580:E580"/>
    <mergeCell ref="G580:H580"/>
    <mergeCell ref="N487:S501"/>
    <mergeCell ref="N504:S506"/>
    <mergeCell ref="N508:S509"/>
    <mergeCell ref="B485:H485"/>
    <mergeCell ref="B467:I467"/>
    <mergeCell ref="B468:H468"/>
    <mergeCell ref="A445:J447"/>
    <mergeCell ref="A450:J452"/>
    <mergeCell ref="N591:S597"/>
    <mergeCell ref="D596:I596"/>
    <mergeCell ref="D597:I597"/>
    <mergeCell ref="B581:C581"/>
    <mergeCell ref="G581:H581"/>
    <mergeCell ref="A584:J586"/>
    <mergeCell ref="A587:J589"/>
    <mergeCell ref="D591:I591"/>
    <mergeCell ref="D592:I592"/>
    <mergeCell ref="D593:I593"/>
    <mergeCell ref="D594:I594"/>
    <mergeCell ref="D595:I595"/>
    <mergeCell ref="N562:S580"/>
    <mergeCell ref="B558:H558"/>
    <mergeCell ref="E562:F562"/>
    <mergeCell ref="H562:I562"/>
    <mergeCell ref="N406:S419"/>
    <mergeCell ref="N514:S520"/>
    <mergeCell ref="N480:S484"/>
    <mergeCell ref="A369:J371"/>
    <mergeCell ref="N330:S345"/>
    <mergeCell ref="A343:J343"/>
    <mergeCell ref="N318:S324"/>
    <mergeCell ref="A318:J324"/>
    <mergeCell ref="B326:J326"/>
    <mergeCell ref="A328:J329"/>
    <mergeCell ref="A373:J374"/>
    <mergeCell ref="A356:J357"/>
    <mergeCell ref="A344:J346"/>
    <mergeCell ref="N349:S353"/>
    <mergeCell ref="N356:S359"/>
    <mergeCell ref="A398:H398"/>
    <mergeCell ref="B399:I400"/>
    <mergeCell ref="A401:J404"/>
    <mergeCell ref="A406:I408"/>
    <mergeCell ref="N382:S389"/>
    <mergeCell ref="N392:S399"/>
    <mergeCell ref="A378:C378"/>
    <mergeCell ref="A464:J464"/>
    <mergeCell ref="N511:S512"/>
    <mergeCell ref="A50:J52"/>
    <mergeCell ref="A53:J54"/>
    <mergeCell ref="A57:J57"/>
    <mergeCell ref="A36:C36"/>
    <mergeCell ref="A43:F43"/>
    <mergeCell ref="G43:J43"/>
    <mergeCell ref="A55:J55"/>
    <mergeCell ref="A45:J45"/>
    <mergeCell ref="A1:C1"/>
    <mergeCell ref="D1:J1"/>
    <mergeCell ref="A3:D3"/>
    <mergeCell ref="E3:H3"/>
    <mergeCell ref="E6:H6"/>
    <mergeCell ref="G5:I5"/>
    <mergeCell ref="B5:F5"/>
    <mergeCell ref="B7:I7"/>
    <mergeCell ref="L17:S33"/>
    <mergeCell ref="D9:F9"/>
    <mergeCell ref="F19:J19"/>
    <mergeCell ref="F20:J20"/>
    <mergeCell ref="E22:J22"/>
    <mergeCell ref="F23:J23"/>
    <mergeCell ref="F24:J24"/>
    <mergeCell ref="A48:E48"/>
    <mergeCell ref="F48:J48"/>
    <mergeCell ref="B9:C9"/>
    <mergeCell ref="G26:I26"/>
    <mergeCell ref="G27:I27"/>
    <mergeCell ref="G28:I28"/>
    <mergeCell ref="G29:I29"/>
    <mergeCell ref="A31:J33"/>
    <mergeCell ref="A534:J534"/>
    <mergeCell ref="A560:J560"/>
    <mergeCell ref="A261:J261"/>
    <mergeCell ref="J262:J263"/>
    <mergeCell ref="A249:J249"/>
    <mergeCell ref="A244:J244"/>
    <mergeCell ref="A117:J117"/>
    <mergeCell ref="A150:J150"/>
    <mergeCell ref="A193:J193"/>
    <mergeCell ref="A202:J202"/>
    <mergeCell ref="A444:J444"/>
    <mergeCell ref="A254:J256"/>
    <mergeCell ref="A257:J260"/>
    <mergeCell ref="A262:H263"/>
    <mergeCell ref="G238:J238"/>
    <mergeCell ref="G237:J237"/>
    <mergeCell ref="J285:J286"/>
    <mergeCell ref="A250:J253"/>
    <mergeCell ref="A535:J537"/>
    <mergeCell ref="B514:I520"/>
    <mergeCell ref="A541:J542"/>
    <mergeCell ref="A550:I550"/>
    <mergeCell ref="A181:D181"/>
    <mergeCell ref="E181:J181"/>
  </mergeCells>
  <conditionalFormatting sqref="I82:I83">
    <cfRule type="iconSet" priority="165">
      <iconSet iconSet="3Symbols2" showValue="0">
        <cfvo type="percent" val="0"/>
        <cfvo type="num" val="0"/>
        <cfvo type="num" val="10"/>
      </iconSet>
    </cfRule>
  </conditionalFormatting>
  <conditionalFormatting sqref="A203:J219 A470:J474">
    <cfRule type="expression" dxfId="84" priority="160">
      <formula>$I$83=10</formula>
    </cfRule>
  </conditionalFormatting>
  <conditionalFormatting sqref="A555:J556 A92:J92">
    <cfRule type="expression" dxfId="83" priority="159">
      <formula>$I$82=10</formula>
    </cfRule>
  </conditionalFormatting>
  <conditionalFormatting sqref="J122">
    <cfRule type="iconSet" priority="157">
      <iconSet iconSet="3Symbols2" showValue="0">
        <cfvo type="percent" val="0"/>
        <cfvo type="num" val="0"/>
        <cfvo type="num" val="10"/>
      </iconSet>
    </cfRule>
  </conditionalFormatting>
  <conditionalFormatting sqref="J126">
    <cfRule type="iconSet" priority="156">
      <iconSet iconSet="3Symbols2" showValue="0">
        <cfvo type="percent" val="0"/>
        <cfvo type="num" val="0"/>
        <cfvo type="num" val="10"/>
      </iconSet>
    </cfRule>
  </conditionalFormatting>
  <conditionalFormatting sqref="J129">
    <cfRule type="iconSet" priority="155">
      <iconSet iconSet="3Symbols2" showValue="0">
        <cfvo type="percent" val="0"/>
        <cfvo type="num" val="0"/>
        <cfvo type="num" val="10"/>
      </iconSet>
    </cfRule>
  </conditionalFormatting>
  <conditionalFormatting sqref="J136">
    <cfRule type="iconSet" priority="154">
      <iconSet iconSet="3Symbols2" showValue="0">
        <cfvo type="percent" val="0"/>
        <cfvo type="num" val="0"/>
        <cfvo type="num" val="10"/>
      </iconSet>
    </cfRule>
  </conditionalFormatting>
  <conditionalFormatting sqref="J143">
    <cfRule type="iconSet" priority="153">
      <iconSet iconSet="3Symbols2" showValue="0">
        <cfvo type="percent" val="0"/>
        <cfvo type="num" val="0"/>
        <cfvo type="num" val="10"/>
      </iconSet>
    </cfRule>
  </conditionalFormatting>
  <conditionalFormatting sqref="E156:J156">
    <cfRule type="expression" dxfId="82" priority="149">
      <formula>$E$106&lt;&gt;""</formula>
    </cfRule>
  </conditionalFormatting>
  <conditionalFormatting sqref="A163:J164">
    <cfRule type="expression" dxfId="81" priority="148">
      <formula>$F$162="No"</formula>
    </cfRule>
  </conditionalFormatting>
  <conditionalFormatting sqref="E158:J158 E163:J164">
    <cfRule type="expression" dxfId="80" priority="147">
      <formula>$B$110&lt;&gt;""</formula>
    </cfRule>
  </conditionalFormatting>
  <conditionalFormatting sqref="D167">
    <cfRule type="expression" dxfId="79" priority="144">
      <formula>LEFT($C$168,3)&lt;&gt;"App"</formula>
    </cfRule>
  </conditionalFormatting>
  <conditionalFormatting sqref="E173:J173">
    <cfRule type="expression" dxfId="78" priority="145">
      <formula>$A$125&lt;&gt;""</formula>
    </cfRule>
  </conditionalFormatting>
  <conditionalFormatting sqref="E181:J181">
    <cfRule type="expression" dxfId="77" priority="143">
      <formula>$B$133&lt;&gt;""</formula>
    </cfRule>
  </conditionalFormatting>
  <conditionalFormatting sqref="F246">
    <cfRule type="expression" dxfId="76" priority="142">
      <formula>$D$146&lt;&gt;""</formula>
    </cfRule>
  </conditionalFormatting>
  <conditionalFormatting sqref="F264 H264">
    <cfRule type="expression" dxfId="75" priority="141">
      <formula>#REF!&lt;&gt;""</formula>
    </cfRule>
  </conditionalFormatting>
  <conditionalFormatting sqref="J285">
    <cfRule type="iconSet" priority="140">
      <iconSet iconSet="3Symbols2" showValue="0">
        <cfvo type="percent" val="0"/>
        <cfvo type="num" val="0"/>
        <cfvo type="num" val="10"/>
      </iconSet>
    </cfRule>
  </conditionalFormatting>
  <conditionalFormatting sqref="I264">
    <cfRule type="expression" dxfId="74" priority="139">
      <formula>OR($I264="Saturday",$I264="Sunday")</formula>
    </cfRule>
  </conditionalFormatting>
  <conditionalFormatting sqref="E310:J315">
    <cfRule type="expression" dxfId="73" priority="138">
      <formula>$E$311=""</formula>
    </cfRule>
  </conditionalFormatting>
  <conditionalFormatting sqref="E302:J307">
    <cfRule type="expression" dxfId="72" priority="137">
      <formula>$E$303=""</formula>
    </cfRule>
  </conditionalFormatting>
  <conditionalFormatting sqref="A318:A319">
    <cfRule type="cellIs" dxfId="71" priority="136" operator="equal">
      <formula>""</formula>
    </cfRule>
  </conditionalFormatting>
  <conditionalFormatting sqref="A330:J342 A343">
    <cfRule type="expression" dxfId="70" priority="135">
      <formula>RIGHT($A$343,1)="!"</formula>
    </cfRule>
  </conditionalFormatting>
  <conditionalFormatting sqref="J383">
    <cfRule type="iconSet" priority="130">
      <iconSet iconSet="3Symbols2" showValue="0">
        <cfvo type="percent" val="0"/>
        <cfvo type="num" val="0"/>
        <cfvo type="num" val="10"/>
      </iconSet>
    </cfRule>
  </conditionalFormatting>
  <conditionalFormatting sqref="J385">
    <cfRule type="iconSet" priority="123">
      <iconSet iconSet="3Symbols2" showValue="0">
        <cfvo type="percent" val="0"/>
        <cfvo type="num" val="0"/>
        <cfvo type="num" val="10"/>
      </iconSet>
    </cfRule>
  </conditionalFormatting>
  <conditionalFormatting sqref="J387">
    <cfRule type="iconSet" priority="122">
      <iconSet iconSet="3Symbols2" showValue="0">
        <cfvo type="percent" val="0"/>
        <cfvo type="num" val="0"/>
        <cfvo type="num" val="10"/>
      </iconSet>
    </cfRule>
  </conditionalFormatting>
  <conditionalFormatting sqref="J389">
    <cfRule type="iconSet" priority="118">
      <iconSet iconSet="3Symbols2" showValue="0">
        <cfvo type="percent" val="0"/>
        <cfvo type="num" val="0"/>
        <cfvo type="num" val="10"/>
      </iconSet>
    </cfRule>
  </conditionalFormatting>
  <conditionalFormatting sqref="J394">
    <cfRule type="iconSet" priority="117">
      <iconSet iconSet="3Symbols2" showValue="0">
        <cfvo type="percent" val="0"/>
        <cfvo type="num" val="0"/>
        <cfvo type="num" val="10"/>
      </iconSet>
    </cfRule>
  </conditionalFormatting>
  <conditionalFormatting sqref="J396">
    <cfRule type="iconSet" priority="116">
      <iconSet iconSet="3Symbols2" showValue="0">
        <cfvo type="percent" val="0"/>
        <cfvo type="num" val="0"/>
        <cfvo type="num" val="10"/>
      </iconSet>
    </cfRule>
  </conditionalFormatting>
  <conditionalFormatting sqref="A390:J390">
    <cfRule type="expression" dxfId="69" priority="115">
      <formula>RIGHT($A$390,2)="UK"</formula>
    </cfRule>
  </conditionalFormatting>
  <conditionalFormatting sqref="J457">
    <cfRule type="iconSet" priority="91">
      <iconSet iconSet="3Symbols2" showValue="0">
        <cfvo type="percent" val="0"/>
        <cfvo type="num" val="0"/>
        <cfvo type="num" val="10"/>
      </iconSet>
    </cfRule>
  </conditionalFormatting>
  <conditionalFormatting sqref="J459">
    <cfRule type="iconSet" priority="90">
      <iconSet iconSet="3Symbols2" showValue="0">
        <cfvo type="percent" val="0"/>
        <cfvo type="num" val="0"/>
        <cfvo type="num" val="10"/>
      </iconSet>
    </cfRule>
  </conditionalFormatting>
  <conditionalFormatting sqref="J462">
    <cfRule type="iconSet" priority="89">
      <iconSet iconSet="3Symbols2" showValue="0">
        <cfvo type="percent" val="0"/>
        <cfvo type="num" val="0"/>
        <cfvo type="num" val="10"/>
      </iconSet>
    </cfRule>
  </conditionalFormatting>
  <conditionalFormatting sqref="J467">
    <cfRule type="iconSet" priority="88">
      <iconSet iconSet="3Symbols2" showValue="0">
        <cfvo type="percent" val="0"/>
        <cfvo type="num" val="0"/>
        <cfvo type="num" val="10"/>
      </iconSet>
    </cfRule>
  </conditionalFormatting>
  <conditionalFormatting sqref="J480">
    <cfRule type="iconSet" priority="84">
      <iconSet iconSet="3Symbols2" showValue="0">
        <cfvo type="percent" val="0"/>
        <cfvo type="num" val="0"/>
        <cfvo type="num" val="10"/>
      </iconSet>
    </cfRule>
  </conditionalFormatting>
  <conditionalFormatting sqref="J476">
    <cfRule type="iconSet" priority="83">
      <iconSet iconSet="3Symbols2" showValue="0">
        <cfvo type="percent" val="0"/>
        <cfvo type="num" val="0"/>
        <cfvo type="num" val="10"/>
      </iconSet>
    </cfRule>
  </conditionalFormatting>
  <conditionalFormatting sqref="J470">
    <cfRule type="iconSet" priority="82">
      <iconSet iconSet="3Symbols2" showValue="0">
        <cfvo type="percent" val="0"/>
        <cfvo type="num" val="0"/>
        <cfvo type="num" val="10"/>
      </iconSet>
    </cfRule>
  </conditionalFormatting>
  <conditionalFormatting sqref="J487">
    <cfRule type="iconSet" priority="81">
      <iconSet iconSet="3Symbols2" showValue="0">
        <cfvo type="percent" val="0"/>
        <cfvo type="num" val="0"/>
        <cfvo type="num" val="10"/>
      </iconSet>
    </cfRule>
  </conditionalFormatting>
  <conditionalFormatting sqref="J504">
    <cfRule type="iconSet" priority="80">
      <iconSet iconSet="3Symbols2" showValue="0">
        <cfvo type="percent" val="0"/>
        <cfvo type="num" val="0"/>
        <cfvo type="num" val="10"/>
      </iconSet>
    </cfRule>
  </conditionalFormatting>
  <conditionalFormatting sqref="J508">
    <cfRule type="iconSet" priority="72">
      <iconSet iconSet="3Symbols2" showValue="0">
        <cfvo type="percent" val="0"/>
        <cfvo type="num" val="0"/>
        <cfvo type="num" val="10"/>
      </iconSet>
    </cfRule>
  </conditionalFormatting>
  <conditionalFormatting sqref="J514">
    <cfRule type="iconSet" priority="67">
      <iconSet iconSet="3Symbols2" showValue="0">
        <cfvo type="percent" val="0"/>
        <cfvo type="num" val="0"/>
        <cfvo type="num" val="10"/>
      </iconSet>
    </cfRule>
  </conditionalFormatting>
  <conditionalFormatting sqref="J523">
    <cfRule type="iconSet" priority="66">
      <iconSet iconSet="3Symbols2" showValue="0">
        <cfvo type="percent" val="0"/>
        <cfvo type="num" val="0"/>
        <cfvo type="num" val="10"/>
      </iconSet>
    </cfRule>
  </conditionalFormatting>
  <conditionalFormatting sqref="J556">
    <cfRule type="iconSet" priority="65">
      <iconSet iconSet="3Symbols2" showValue="0">
        <cfvo type="percent" val="0"/>
        <cfvo type="num" val="0"/>
        <cfvo type="num" val="10"/>
      </iconSet>
    </cfRule>
  </conditionalFormatting>
  <conditionalFormatting sqref="J553">
    <cfRule type="iconSet" priority="63">
      <iconSet iconSet="3Symbols2" showValue="0">
        <cfvo type="percent" val="0"/>
        <cfvo type="num" val="0"/>
        <cfvo type="num" val="10"/>
      </iconSet>
    </cfRule>
  </conditionalFormatting>
  <conditionalFormatting sqref="E562:F563">
    <cfRule type="cellIs" dxfId="68" priority="62" operator="greaterThan">
      <formula>1820</formula>
    </cfRule>
  </conditionalFormatting>
  <conditionalFormatting sqref="H563:I563">
    <cfRule type="cellIs" dxfId="67" priority="61" operator="greaterThan">
      <formula>1820</formula>
    </cfRule>
  </conditionalFormatting>
  <conditionalFormatting sqref="H141:I141">
    <cfRule type="expression" dxfId="66" priority="34">
      <formula>$I$82=10</formula>
    </cfRule>
  </conditionalFormatting>
  <conditionalFormatting sqref="A378:J379">
    <cfRule type="expression" dxfId="65" priority="32">
      <formula>$J$376&lt;&gt;"Yes"</formula>
    </cfRule>
  </conditionalFormatting>
  <conditionalFormatting sqref="H141:I141 A92:J92">
    <cfRule type="expression" dxfId="64" priority="268">
      <formula>$J$90="No"</formula>
    </cfRule>
  </conditionalFormatting>
  <conditionalFormatting sqref="A94:J94">
    <cfRule type="expression" dxfId="63" priority="25">
      <formula>$I$83=10</formula>
    </cfRule>
  </conditionalFormatting>
  <conditionalFormatting sqref="A91:J93">
    <cfRule type="expression" dxfId="62" priority="24">
      <formula>$J$90&lt;&gt;"Yes"</formula>
    </cfRule>
  </conditionalFormatting>
  <conditionalFormatting sqref="J104">
    <cfRule type="iconSet" priority="23">
      <iconSet iconSet="3Symbols2" showValue="0">
        <cfvo type="percent" val="0"/>
        <cfvo type="num" val="0"/>
        <cfvo type="num" val="10"/>
      </iconSet>
    </cfRule>
  </conditionalFormatting>
  <conditionalFormatting sqref="J106">
    <cfRule type="iconSet" priority="22">
      <iconSet iconSet="3Symbols2" showValue="0">
        <cfvo type="percent" val="0"/>
        <cfvo type="num" val="0"/>
        <cfvo type="num" val="10"/>
      </iconSet>
    </cfRule>
  </conditionalFormatting>
  <conditionalFormatting sqref="J111">
    <cfRule type="iconSet" priority="21">
      <iconSet iconSet="3Symbols2" showValue="0">
        <cfvo type="percent" val="0"/>
        <cfvo type="num" val="0"/>
        <cfvo type="num" val="10"/>
      </iconSet>
    </cfRule>
  </conditionalFormatting>
  <conditionalFormatting sqref="J102">
    <cfRule type="iconSet" priority="20">
      <iconSet iconSet="3Symbols2" showValue="0">
        <cfvo type="percent" val="0"/>
        <cfvo type="num" val="0"/>
        <cfvo type="num" val="10"/>
      </iconSet>
    </cfRule>
  </conditionalFormatting>
  <conditionalFormatting sqref="A522:J533">
    <cfRule type="expression" dxfId="61" priority="19">
      <formula>$J$406&lt;&gt;"Yes"</formula>
    </cfRule>
  </conditionalFormatting>
  <conditionalFormatting sqref="A237:J243">
    <cfRule type="expression" dxfId="60" priority="15">
      <formula>$A$236&lt;&gt;""</formula>
    </cfRule>
  </conditionalFormatting>
  <conditionalFormatting sqref="J511">
    <cfRule type="iconSet" priority="14">
      <iconSet iconSet="3Symbols2" showValue="0">
        <cfvo type="percent" val="0"/>
        <cfvo type="num" val="0"/>
        <cfvo type="num" val="10"/>
      </iconSet>
    </cfRule>
  </conditionalFormatting>
  <conditionalFormatting sqref="C168:F168">
    <cfRule type="expression" dxfId="59" priority="7">
      <formula>LEFT($C$168,3)="App"</formula>
    </cfRule>
  </conditionalFormatting>
  <conditionalFormatting sqref="A27:J29">
    <cfRule type="expression" dxfId="58" priority="6">
      <formula>$G$26="No"</formula>
    </cfRule>
  </conditionalFormatting>
  <conditionalFormatting sqref="A28:J28">
    <cfRule type="expression" dxfId="57" priority="5">
      <formula>$G$27&lt;&gt;"Yes"</formula>
    </cfRule>
  </conditionalFormatting>
  <conditionalFormatting sqref="A29:J29">
    <cfRule type="expression" dxfId="56" priority="4">
      <formula>$G$27&lt;&gt;"Not yet"</formula>
    </cfRule>
  </conditionalFormatting>
  <conditionalFormatting sqref="J199:J200">
    <cfRule type="expression" dxfId="55" priority="3">
      <formula>$J$198="No"</formula>
    </cfRule>
  </conditionalFormatting>
  <conditionalFormatting sqref="A261:J261">
    <cfRule type="notContainsBlanks" dxfId="54" priority="1">
      <formula>LEN(TRIM(A261))&gt;0</formula>
    </cfRule>
  </conditionalFormatting>
  <dataValidations disablePrompts="1" count="14">
    <dataValidation type="list" allowBlank="1" showInputMessage="1" showErrorMessage="1" sqref="F162 J90 J240 G26:I26" xr:uid="{00000000-0002-0000-0200-000000000000}">
      <formula1>"'- select -,Yes,No"</formula1>
    </dataValidation>
    <dataValidation type="date" allowBlank="1" showInputMessage="1" showErrorMessage="1" errorTitle="Date error" error="Please enter the date of issue of the applicant's first Tier 2 visa in the format - DD/MM/YYYY_x000a__x000a_Tier 2 was introduced in 2008._x000a__x000a_Is this a valid date? Remember (30 days hath September...)" sqref="I92:J92" xr:uid="{00000000-0002-0000-0200-000001000000}">
      <formula1>39448</formula1>
      <formula2>TODAY()</formula2>
    </dataValidation>
    <dataValidation type="date" allowBlank="1" showInputMessage="1" showErrorMessage="1" errorTitle="Passport expiry date error" error="Please enter passport expiry date in the format - DD/MM/YYYY_x000a__x000a_Expired passport details cannot be listed on a CoS._x000a__x000a_Is this a valid date? Remember (30 days hath September...)" sqref="E173:J173" xr:uid="{00000000-0002-0000-0200-000002000000}">
      <formula1>TODAY()</formula1>
      <formula2>DATE(YEAR(TODAY())+10,MONTH(TODAY()),DAY(TODAY()))</formula2>
    </dataValidation>
    <dataValidation type="date" allowBlank="1" showInputMessage="1" showErrorMessage="1" errorTitle="Passport issue date error" error="Please enter the passport issue date in the format - DD/MM/YYYY_x000a__x000a_Is this a valid date? Remember (30 days hath September...)" sqref="E172:J172" xr:uid="{00000000-0002-0000-0200-000003000000}">
      <formula1>DATE(YEAR(TODAY())-20,MONTH(TODAY()),DAY(TODAY()))</formula1>
      <formula2>TODAY()</formula2>
    </dataValidation>
    <dataValidation type="date" allowBlank="1" showInputMessage="1" showErrorMessage="1" errorTitle="Date of birth error" error="Please enter date of birth in the format - DD/MM/YYYY_x000a__x000a_Is this a valid date? Remember (30 days hath September...)" sqref="D167:E167" xr:uid="{00000000-0002-0000-0200-000004000000}">
      <formula1>DATE(YEAR(TODAY())-80,MONTH(TODAY()),DAY(TODAY()))</formula1>
      <formula2>DATE(YEAR(TODAY())-16,MONTH(TODAY()),DAY(TODAY()))</formula2>
    </dataValidation>
    <dataValidation type="date" allowBlank="1" showInputMessage="1" showErrorMessage="1" errorTitle="CoS end date error" error="Please enter the required CoS end date in the format - DD/MM/YYYY_x000a__x000a_The maximum length of CoS which can be issued is 5 years._x000a__x000a_Is this a valid date? Remember (30 days hath September...)" sqref="F267:H267" xr:uid="{00000000-0002-0000-0200-000005000000}">
      <formula1>TODAY()</formula1>
      <formula2>DATE(YEAR($F$264)+6,MONTH($F$264),DAY($F$264))</formula2>
    </dataValidation>
    <dataValidation type="date" allowBlank="1" showInputMessage="1" showErrorMessage="1" errorTitle="CoS start date error" error="Please enter the start date in the format - DD/MM/YYYY_x000a__x000a_It is not possible to list a start date in the past._x000a__x000a_Is this a valid date? Remember (30 days hath September...)" sqref="F264:H264" xr:uid="{00000000-0002-0000-0200-000006000000}">
      <formula1>TODAY()</formula1>
      <formula2>DATE(YEAR(TODAY())+1,MONTH(TODAY()),DAY(TODAY()))</formula2>
    </dataValidation>
    <dataValidation type="decimal" allowBlank="1" showInputMessage="1" showErrorMessage="1" errorTitle="Hours of work error!" error="Please enter the applicant's weekly hours of work" sqref="D293" xr:uid="{00000000-0002-0000-0200-000007000000}">
      <formula1>0</formula1>
      <formula2>100</formula2>
    </dataValidation>
    <dataValidation type="date" allowBlank="1" showInputMessage="1" showErrorMessage="1" errorTitle="Date input error!" error="Please enter a date in the format - DD/MM/YYYY_x000a__x000a_Is this a valid date? Remember (30 days hath September...)" sqref="D593:I593" xr:uid="{00000000-0002-0000-0200-000008000000}">
      <formula1>DATE(YEAR(TODAY())-1,MONTH(TODAY()),DAY(TODAY()))</formula1>
      <formula2>TODAY()</formula2>
    </dataValidation>
    <dataValidation type="date" allowBlank="1" showInputMessage="1" showErrorMessage="1" errorTitle="Date error!" error="Please enter date applicant passed, or will sit, approved English test in the format - DD/MM/YYYY_x000a__x000a_Test must be before visa application &amp; results only valid for 2yrs_x000a__x000a_Is this a valid date? Remember (30 days hath September...)" sqref="H141:I141" xr:uid="{00000000-0002-0000-0200-000009000000}">
      <formula1>DATE(YEAR(TODAY())-2,MONTH(TODAY()),DAY(TODAY()))</formula1>
      <formula2>DATE(YEAR(TODAY()),MONTH(TODAY())+3,DAY(TODAY()))</formula2>
    </dataValidation>
    <dataValidation type="list" allowBlank="1" showInputMessage="1" showErrorMessage="1" sqref="I234:J235" xr:uid="{00000000-0002-0000-0200-00000B000000}">
      <formula1>"'- select -,Yes,No,Not Sure"</formula1>
    </dataValidation>
    <dataValidation type="list" allowBlank="1" showInputMessage="1" showErrorMessage="1" sqref="G27:I27" xr:uid="{0FD7A58A-D533-420A-8CF6-760C3E06A303}">
      <formula1>"'- select -,Yes,No,Not yet"</formula1>
    </dataValidation>
    <dataValidation type="whole" allowBlank="1" showInputMessage="1" showErrorMessage="1" errorTitle="Entry error!" error="Please enter number of children, if none select 'No' in the field above and leave this field blank" sqref="J199:J200" xr:uid="{6D88BCD6-98BF-422E-B9EF-26D8B87A7C46}">
      <formula1>1</formula1>
      <formula2>20</formula2>
    </dataValidation>
    <dataValidation type="list" showInputMessage="1" showErrorMessage="1" sqref="I262" xr:uid="{3328A0A5-8C35-4830-A116-3A9E5DF04B71}">
      <formula1>"'- select -,1,2,3,4"</formula1>
    </dataValidation>
  </dataValidations>
  <hyperlinks>
    <hyperlink ref="A602" r:id="rId1" xr:uid="{00000000-0004-0000-0200-000000000000}"/>
    <hyperlink ref="B125" r:id="rId2" display="www.gov.uk/tier-2-general/knowledge-of-english" xr:uid="{00000000-0004-0000-0200-000001000000}"/>
    <hyperlink ref="B134" r:id="rId3" display="https://ecctis.com/Qualifications/VAN/Default.aspx" xr:uid="{00000000-0004-0000-0200-000002000000}"/>
    <hyperlink ref="B140" r:id="rId4" xr:uid="{00000000-0004-0000-0200-000003000000}"/>
    <hyperlink ref="A148" r:id="rId5" display="www.gov.uk/tier-2-general/knowledge-of-english  " xr:uid="{00000000-0004-0000-0200-000004000000}"/>
    <hyperlink ref="B210" r:id="rId6" xr:uid="{00000000-0004-0000-0200-000006000000}"/>
    <hyperlink ref="A354" r:id="rId7" location="collapse1497316" display="https://staffimmigration.admin.ox.ac.uk/tier-2-requesting-cos-and-prepare-visa-application#collapse1497316" xr:uid="{00000000-0004-0000-0200-000007000000}"/>
    <hyperlink ref="E364" r:id="rId8" display="www.admin.ox.ac.uk/finance/epp/payroll/scales/" xr:uid="{00000000-0004-0000-0200-000008000000}"/>
    <hyperlink ref="B449" r:id="rId9" display="https://staffimmigration.admin.ox.ac.uk/during-tier-2-sponsorship" xr:uid="{00000000-0004-0000-0200-000009000000}"/>
    <hyperlink ref="B454" r:id="rId10" xr:uid="{00000000-0004-0000-0200-00000A000000}"/>
    <hyperlink ref="A354:J354" r:id="rId11" display="https://staffimmigration.admin.ox.ac.uk/skilled-worker-requesting-cos-and-prepare-visa-application" xr:uid="{00000000-0004-0000-0200-00000C000000}"/>
    <hyperlink ref="B125:G125" r:id="rId12" display="https://www.gov.uk/skilled-worker-visa/knowledge-of-english" xr:uid="{00000000-0004-0000-0200-00000D000000}"/>
    <hyperlink ref="A148:J148" r:id="rId13" display="https://www.gov.uk/skilled-worker-visa/knowledge-of-english" xr:uid="{00000000-0004-0000-0200-00000E000000}"/>
    <hyperlink ref="E364:I364" r:id="rId14" display="https://finance.admin.ox.ac.uk/salary-scales" xr:uid="{00000000-0004-0000-0200-00000F000000}"/>
    <hyperlink ref="B449:H449" r:id="rId15" display="https://staffimmigration.admin.ox.ac.uk/skilled-worker-during-sponsorship" xr:uid="{00000000-0004-0000-0200-000010000000}"/>
    <hyperlink ref="A437:D437" location="'SW initial -recruitment details'!A1" display="'SW initial -recruitment details' sheet " xr:uid="{00000000-0004-0000-0200-000011000000}"/>
    <hyperlink ref="B134:F134" r:id="rId16" display="https://qls.ecctis.com/" xr:uid="{00000000-0004-0000-0200-000012000000}"/>
    <hyperlink ref="A233" r:id="rId17" xr:uid="{00000000-0004-0000-0200-000013000000}"/>
    <hyperlink ref="G240:I240" r:id="rId18" display="(based on our Template) ?" xr:uid="{00000000-0004-0000-0200-000014000000}"/>
    <hyperlink ref="A3" r:id="rId19" xr:uid="{00000000-0004-0000-0200-000015000000}"/>
    <hyperlink ref="G5" r:id="rId20" xr:uid="{00000000-0004-0000-0200-000016000000}"/>
    <hyperlink ref="E6" r:id="rId21" location="collapse1517306" xr:uid="{00000000-0004-0000-0200-000018000000}"/>
    <hyperlink ref="A36" r:id="rId22" display="The Global Talent visa route " xr:uid="{00000000-0004-0000-0200-000019000000}"/>
    <hyperlink ref="A36:C36" r:id="rId23" display="Graduate visa route " xr:uid="{00000000-0004-0000-0200-00001A000000}"/>
    <hyperlink ref="G43:J43" r:id="rId24" location="layer-6809" display="provide useful guidance on this route" xr:uid="{00000000-0004-0000-0200-00001B000000}"/>
    <hyperlink ref="E242:J242" r:id="rId25" display="https://staffimmigration.admin.ox.ac.uk/atas-researchers" xr:uid="{00000000-0004-0000-0200-00001C000000}"/>
    <hyperlink ref="E604" r:id="rId26" display="angelina.pelova@admin.ox.ac.uk" xr:uid="{00000000-0004-0000-0200-00001D000000}"/>
    <hyperlink ref="E605" r:id="rId27" xr:uid="{00000000-0004-0000-0200-00001E000000}"/>
    <hyperlink ref="E608" r:id="rId28" xr:uid="{00000000-0004-0000-0200-00001F000000}"/>
    <hyperlink ref="E609" r:id="rId29" xr:uid="{00000000-0004-0000-0200-000020000000}"/>
    <hyperlink ref="A48" r:id="rId30" display="High Potential Individual visa route" xr:uid="{00000000-0004-0000-0200-000021000000}"/>
    <hyperlink ref="A53:J54" r:id="rId31" display="Home Office list of eligible universities" xr:uid="{00000000-0004-0000-0200-000022000000}"/>
    <hyperlink ref="E605:H605" r:id="rId32" display="paul.deeble@admin.ox.ac.uk" xr:uid="{2814FFB1-DAFF-4006-BBF2-6D22B1618D82}"/>
    <hyperlink ref="E610" r:id="rId33" xr:uid="{475B98F2-8067-4697-8628-67B02A3DDA48}"/>
    <hyperlink ref="E610:H610" r:id="rId34" display="sufia.nadeem@admin.ox.ac.uk" xr:uid="{C80244C0-FC25-4C72-BE6F-41D3B5E268C9}"/>
    <hyperlink ref="E604:H604" r:id="rId35" display="angelina.escott@admin.ox.ac.uk" xr:uid="{CB66BBED-427E-4E6D-BFE3-8391ACEE8A4B}"/>
    <hyperlink ref="E606" r:id="rId36" xr:uid="{0DCC6AED-C63C-4E87-AEA5-DDB96ABAF997}"/>
  </hyperlinks>
  <pageMargins left="0.51181102362204722" right="0.23622047244094491" top="0.23622047244094491" bottom="0.62992125984251968" header="0" footer="0.31496062992125984"/>
  <pageSetup paperSize="9" scale="73" orientation="portrait" blackAndWhite="1" r:id="rId37"/>
  <headerFooter>
    <oddFooter xml:space="preserve">&amp;LUpdated January 2026&amp;RPage &amp;P-1 of &amp;N-1 </oddFooter>
  </headerFooter>
  <rowBreaks count="9" manualBreakCount="9">
    <brk id="58" max="19" man="1"/>
    <brk id="116" max="19" man="1"/>
    <brk id="178" max="19" man="1"/>
    <brk id="243" max="19" man="1"/>
    <brk id="308" max="19" man="1"/>
    <brk id="380" max="19" man="1"/>
    <brk id="443" max="19" man="1"/>
    <brk id="503" max="19" man="1"/>
    <brk id="559" max="19" man="1"/>
  </rowBreaks>
  <colBreaks count="1" manualBreakCount="1">
    <brk id="10" max="636" man="1"/>
  </colBreaks>
  <ignoredErrors>
    <ignoredError sqref="F580:G580" numberStoredAsText="1"/>
    <ignoredError sqref="F270" formula="1"/>
  </ignoredErrors>
  <drawing r:id="rId38"/>
  <legacyDrawing r:id="rId39"/>
  <controls>
    <mc:AlternateContent xmlns:mc="http://schemas.openxmlformats.org/markup-compatibility/2006">
      <mc:Choice Requires="x14">
        <control shapeId="1257" r:id="rId40" name="OptionButton9">
          <controlPr autoLine="0" autoPict="0" linkedCell="CHECKING!$B$11" r:id="rId41">
            <anchor moveWithCells="1">
              <from>
                <xdr:col>0</xdr:col>
                <xdr:colOff>228600</xdr:colOff>
                <xdr:row>101</xdr:row>
                <xdr:rowOff>19050</xdr:rowOff>
              </from>
              <to>
                <xdr:col>8</xdr:col>
                <xdr:colOff>485775</xdr:colOff>
                <xdr:row>102</xdr:row>
                <xdr:rowOff>276225</xdr:rowOff>
              </to>
            </anchor>
          </controlPr>
        </control>
      </mc:Choice>
      <mc:Fallback>
        <control shapeId="1257" r:id="rId40" name="OptionButton9"/>
      </mc:Fallback>
    </mc:AlternateContent>
    <mc:AlternateContent xmlns:mc="http://schemas.openxmlformats.org/markup-compatibility/2006">
      <mc:Choice Requires="x14">
        <control shapeId="1256" r:id="rId42" name="OptionButton8">
          <controlPr defaultSize="0" autoLine="0" linkedCell="CHECKING!$B$14" r:id="rId43">
            <anchor moveWithCells="1">
              <from>
                <xdr:col>0</xdr:col>
                <xdr:colOff>171450</xdr:colOff>
                <xdr:row>109</xdr:row>
                <xdr:rowOff>190500</xdr:rowOff>
              </from>
              <to>
                <xdr:col>8</xdr:col>
                <xdr:colOff>514350</xdr:colOff>
                <xdr:row>112</xdr:row>
                <xdr:rowOff>47625</xdr:rowOff>
              </to>
            </anchor>
          </controlPr>
        </control>
      </mc:Choice>
      <mc:Fallback>
        <control shapeId="1256" r:id="rId42" name="OptionButton8"/>
      </mc:Fallback>
    </mc:AlternateContent>
    <mc:AlternateContent xmlns:mc="http://schemas.openxmlformats.org/markup-compatibility/2006">
      <mc:Choice Requires="x14">
        <control shapeId="1255" r:id="rId44" name="OptionButton4">
          <controlPr defaultSize="0" autoLine="0" linkedCell="CHECKING!$B$13" r:id="rId45">
            <anchor moveWithCells="1">
              <from>
                <xdr:col>0</xdr:col>
                <xdr:colOff>200025</xdr:colOff>
                <xdr:row>104</xdr:row>
                <xdr:rowOff>161925</xdr:rowOff>
              </from>
              <to>
                <xdr:col>8</xdr:col>
                <xdr:colOff>476250</xdr:colOff>
                <xdr:row>107</xdr:row>
                <xdr:rowOff>19050</xdr:rowOff>
              </to>
            </anchor>
          </controlPr>
        </control>
      </mc:Choice>
      <mc:Fallback>
        <control shapeId="1255" r:id="rId44" name="OptionButton4"/>
      </mc:Fallback>
    </mc:AlternateContent>
    <mc:AlternateContent xmlns:mc="http://schemas.openxmlformats.org/markup-compatibility/2006">
      <mc:Choice Requires="x14">
        <control shapeId="1254" r:id="rId46" name="OptionButton3">
          <controlPr defaultSize="0" autoLine="0" linkedCell="CHECKING!$B$12" r:id="rId47">
            <anchor moveWithCells="1">
              <from>
                <xdr:col>0</xdr:col>
                <xdr:colOff>228600</xdr:colOff>
                <xdr:row>102</xdr:row>
                <xdr:rowOff>304800</xdr:rowOff>
              </from>
              <to>
                <xdr:col>8</xdr:col>
                <xdr:colOff>457200</xdr:colOff>
                <xdr:row>104</xdr:row>
                <xdr:rowOff>161925</xdr:rowOff>
              </to>
            </anchor>
          </controlPr>
        </control>
      </mc:Choice>
      <mc:Fallback>
        <control shapeId="1254" r:id="rId46" name="OptionButton3"/>
      </mc:Fallback>
    </mc:AlternateContent>
    <mc:AlternateContent xmlns:mc="http://schemas.openxmlformats.org/markup-compatibility/2006">
      <mc:Choice Requires="x14">
        <control shapeId="1084" r:id="rId48" name="ComboBox6">
          <controlPr locked="0" defaultSize="0" autoLine="0" linkedCell="CHECKING!$D$45" listFillRange="Dropdowns!$C$3:$C$257" r:id="rId49">
            <anchor moveWithCells="1">
              <from>
                <xdr:col>4</xdr:col>
                <xdr:colOff>0</xdr:colOff>
                <xdr:row>179</xdr:row>
                <xdr:rowOff>180975</xdr:rowOff>
              </from>
              <to>
                <xdr:col>9</xdr:col>
                <xdr:colOff>552450</xdr:colOff>
                <xdr:row>181</xdr:row>
                <xdr:rowOff>0</xdr:rowOff>
              </to>
            </anchor>
          </controlPr>
        </control>
      </mc:Choice>
      <mc:Fallback>
        <control shapeId="1084" r:id="rId48" name="ComboBox6"/>
      </mc:Fallback>
    </mc:AlternateContent>
    <mc:AlternateContent xmlns:mc="http://schemas.openxmlformats.org/markup-compatibility/2006">
      <mc:Choice Requires="x14">
        <control shapeId="1075" r:id="rId50" name="ComboBox5">
          <controlPr locked="0" defaultSize="0" autoLine="0" autoPict="0" linkedCell="CHECKING!$D$41" listFillRange="Dropdowns!$C$3:$C$257" r:id="rId51">
            <anchor moveWithCells="1">
              <from>
                <xdr:col>3</xdr:col>
                <xdr:colOff>647700</xdr:colOff>
                <xdr:row>176</xdr:row>
                <xdr:rowOff>0</xdr:rowOff>
              </from>
              <to>
                <xdr:col>9</xdr:col>
                <xdr:colOff>466725</xdr:colOff>
                <xdr:row>177</xdr:row>
                <xdr:rowOff>57150</xdr:rowOff>
              </to>
            </anchor>
          </controlPr>
        </control>
      </mc:Choice>
      <mc:Fallback>
        <control shapeId="1075" r:id="rId50" name="ComboBox5"/>
      </mc:Fallback>
    </mc:AlternateContent>
    <mc:AlternateContent xmlns:mc="http://schemas.openxmlformats.org/markup-compatibility/2006">
      <mc:Choice Requires="x14">
        <control shapeId="1061" r:id="rId52" name="ComboBox4">
          <controlPr locked="0" defaultSize="0" autoLine="0" autoPict="0" linkedCell="CHECKING!$D$31" listFillRange="Dropdowns!$B$3:$B$259" r:id="rId53">
            <anchor moveWithCells="1">
              <from>
                <xdr:col>4</xdr:col>
                <xdr:colOff>9525</xdr:colOff>
                <xdr:row>159</xdr:row>
                <xdr:rowOff>0</xdr:rowOff>
              </from>
              <to>
                <xdr:col>9</xdr:col>
                <xdr:colOff>561975</xdr:colOff>
                <xdr:row>160</xdr:row>
                <xdr:rowOff>19050</xdr:rowOff>
              </to>
            </anchor>
          </controlPr>
        </control>
      </mc:Choice>
      <mc:Fallback>
        <control shapeId="1061" r:id="rId52" name="ComboBox4"/>
      </mc:Fallback>
    </mc:AlternateContent>
    <mc:AlternateContent xmlns:mc="http://schemas.openxmlformats.org/markup-compatibility/2006">
      <mc:Choice Requires="x14">
        <control shapeId="1060" r:id="rId54" name="ComboBox3">
          <controlPr locked="0" defaultSize="0" autoLine="0" linkedCell="CHECKING!$D$34" listFillRange="Dropdowns!$A$3:$A$270" r:id="rId55">
            <anchor moveWithCells="1">
              <from>
                <xdr:col>3</xdr:col>
                <xdr:colOff>647700</xdr:colOff>
                <xdr:row>162</xdr:row>
                <xdr:rowOff>190500</xdr:rowOff>
              </from>
              <to>
                <xdr:col>9</xdr:col>
                <xdr:colOff>552450</xdr:colOff>
                <xdr:row>164</xdr:row>
                <xdr:rowOff>19050</xdr:rowOff>
              </to>
            </anchor>
          </controlPr>
        </control>
      </mc:Choice>
      <mc:Fallback>
        <control shapeId="1060" r:id="rId54" name="ComboBox3"/>
      </mc:Fallback>
    </mc:AlternateContent>
    <mc:AlternateContent xmlns:mc="http://schemas.openxmlformats.org/markup-compatibility/2006">
      <mc:Choice Requires="x14">
        <control shapeId="1059" r:id="rId56" name="ComboBox2">
          <controlPr locked="0" defaultSize="0" autoLine="0" linkedCell="CHECKING!$D$33" listFillRange="Dropdowns!$A$3:$A$270" r:id="rId57">
            <anchor moveWithCells="1">
              <from>
                <xdr:col>4</xdr:col>
                <xdr:colOff>0</xdr:colOff>
                <xdr:row>161</xdr:row>
                <xdr:rowOff>190500</xdr:rowOff>
              </from>
              <to>
                <xdr:col>9</xdr:col>
                <xdr:colOff>609600</xdr:colOff>
                <xdr:row>163</xdr:row>
                <xdr:rowOff>0</xdr:rowOff>
              </to>
            </anchor>
          </controlPr>
        </control>
      </mc:Choice>
      <mc:Fallback>
        <control shapeId="1059" r:id="rId56" name="ComboBox2"/>
      </mc:Fallback>
    </mc:AlternateContent>
    <mc:AlternateContent xmlns:mc="http://schemas.openxmlformats.org/markup-compatibility/2006">
      <mc:Choice Requires="x14">
        <control shapeId="1055" r:id="rId58" name="ComboBox1">
          <controlPr locked="0" defaultSize="0" autoLine="0" linkedCell="CHECKING!$D$29" listFillRange="Dropdowns!$A$3:$A$270" r:id="rId59">
            <anchor moveWithCells="1">
              <from>
                <xdr:col>4</xdr:col>
                <xdr:colOff>0</xdr:colOff>
                <xdr:row>156</xdr:row>
                <xdr:rowOff>190500</xdr:rowOff>
              </from>
              <to>
                <xdr:col>9</xdr:col>
                <xdr:colOff>638175</xdr:colOff>
                <xdr:row>158</xdr:row>
                <xdr:rowOff>9525</xdr:rowOff>
              </to>
            </anchor>
          </controlPr>
        </control>
      </mc:Choice>
      <mc:Fallback>
        <control shapeId="1055" r:id="rId58" name="ComboBox1"/>
      </mc:Fallback>
    </mc:AlternateContent>
    <mc:AlternateContent xmlns:mc="http://schemas.openxmlformats.org/markup-compatibility/2006">
      <mc:Choice Requires="x14">
        <control shapeId="1044" r:id="rId60" name="Previously_met">
          <controlPr defaultSize="0" autoLine="0" linkedCell="CHECKING!$B$23" r:id="rId61">
            <anchor moveWithCells="1">
              <from>
                <xdr:col>0</xdr:col>
                <xdr:colOff>304800</xdr:colOff>
                <xdr:row>141</xdr:row>
                <xdr:rowOff>114300</xdr:rowOff>
              </from>
              <to>
                <xdr:col>8</xdr:col>
                <xdr:colOff>676275</xdr:colOff>
                <xdr:row>143</xdr:row>
                <xdr:rowOff>28575</xdr:rowOff>
              </to>
            </anchor>
          </controlPr>
        </control>
      </mc:Choice>
      <mc:Fallback>
        <control shapeId="1044" r:id="rId60" name="Previously_met"/>
      </mc:Fallback>
    </mc:AlternateContent>
    <mc:AlternateContent xmlns:mc="http://schemas.openxmlformats.org/markup-compatibility/2006">
      <mc:Choice Requires="x14">
        <control shapeId="1043" r:id="rId62" name="English_test">
          <controlPr defaultSize="0" autoLine="0" autoPict="0" linkedCell="CHECKING!$B$22" r:id="rId63">
            <anchor moveWithCells="1">
              <from>
                <xdr:col>0</xdr:col>
                <xdr:colOff>314325</xdr:colOff>
                <xdr:row>134</xdr:row>
                <xdr:rowOff>104775</xdr:rowOff>
              </from>
              <to>
                <xdr:col>8</xdr:col>
                <xdr:colOff>590550</xdr:colOff>
                <xdr:row>137</xdr:row>
                <xdr:rowOff>57150</xdr:rowOff>
              </to>
            </anchor>
          </controlPr>
        </control>
      </mc:Choice>
      <mc:Fallback>
        <control shapeId="1043" r:id="rId62" name="English_test"/>
      </mc:Fallback>
    </mc:AlternateContent>
    <mc:AlternateContent xmlns:mc="http://schemas.openxmlformats.org/markup-compatibility/2006">
      <mc:Choice Requires="x14">
        <control shapeId="1042" r:id="rId64" name="UK_NARIC">
          <controlPr defaultSize="0" autoLine="0" autoPict="0" linkedCell="CHECKING!$B$21" r:id="rId65">
            <anchor moveWithCells="1">
              <from>
                <xdr:col>0</xdr:col>
                <xdr:colOff>342900</xdr:colOff>
                <xdr:row>127</xdr:row>
                <xdr:rowOff>0</xdr:rowOff>
              </from>
              <to>
                <xdr:col>8</xdr:col>
                <xdr:colOff>600075</xdr:colOff>
                <xdr:row>130</xdr:row>
                <xdr:rowOff>76200</xdr:rowOff>
              </to>
            </anchor>
          </controlPr>
        </control>
      </mc:Choice>
      <mc:Fallback>
        <control shapeId="1042" r:id="rId64" name="UK_NARIC"/>
      </mc:Fallback>
    </mc:AlternateContent>
    <mc:AlternateContent xmlns:mc="http://schemas.openxmlformats.org/markup-compatibility/2006">
      <mc:Choice Requires="x14">
        <control shapeId="1041" r:id="rId66" name="UK_University_qualification">
          <controlPr defaultSize="0" autoLine="0" autoPict="0" linkedCell="CHECKING!$B$20" r:id="rId67">
            <anchor moveWithCells="1">
              <from>
                <xdr:col>0</xdr:col>
                <xdr:colOff>342900</xdr:colOff>
                <xdr:row>125</xdr:row>
                <xdr:rowOff>19050</xdr:rowOff>
              </from>
              <to>
                <xdr:col>8</xdr:col>
                <xdr:colOff>476250</xdr:colOff>
                <xdr:row>126</xdr:row>
                <xdr:rowOff>114300</xdr:rowOff>
              </to>
            </anchor>
          </controlPr>
        </control>
      </mc:Choice>
      <mc:Fallback>
        <control shapeId="1041" r:id="rId66" name="UK_University_qualification"/>
      </mc:Fallback>
    </mc:AlternateContent>
    <mc:AlternateContent xmlns:mc="http://schemas.openxmlformats.org/markup-compatibility/2006">
      <mc:Choice Requires="x14">
        <control shapeId="1040" r:id="rId68" name="English_speaking_country">
          <controlPr defaultSize="0" autoLine="0" autoPict="0" linkedCell="CHECKING!$B$19" r:id="rId69">
            <anchor moveWithCells="1">
              <from>
                <xdr:col>0</xdr:col>
                <xdr:colOff>333375</xdr:colOff>
                <xdr:row>121</xdr:row>
                <xdr:rowOff>9525</xdr:rowOff>
              </from>
              <to>
                <xdr:col>8</xdr:col>
                <xdr:colOff>447675</xdr:colOff>
                <xdr:row>122</xdr:row>
                <xdr:rowOff>57150</xdr:rowOff>
              </to>
            </anchor>
          </controlPr>
        </control>
      </mc:Choice>
      <mc:Fallback>
        <control shapeId="1040" r:id="rId68" name="English_speaking_country"/>
      </mc:Fallback>
    </mc:AlternateContent>
    <mc:AlternateContent xmlns:mc="http://schemas.openxmlformats.org/markup-compatibility/2006">
      <mc:Choice Requires="x14">
        <control shapeId="1029" r:id="rId70" name="OptionButton1">
          <controlPr defaultSize="0" autoLine="0" autoPict="0" linkedCell="CHECKING!$B$5" r:id="rId71">
            <anchor moveWithCells="1">
              <from>
                <xdr:col>1</xdr:col>
                <xdr:colOff>333375</xdr:colOff>
                <xdr:row>80</xdr:row>
                <xdr:rowOff>171450</xdr:rowOff>
              </from>
              <to>
                <xdr:col>7</xdr:col>
                <xdr:colOff>409575</xdr:colOff>
                <xdr:row>82</xdr:row>
                <xdr:rowOff>38100</xdr:rowOff>
              </to>
            </anchor>
          </controlPr>
        </control>
      </mc:Choice>
      <mc:Fallback>
        <control shapeId="1029" r:id="rId70" name="OptionButton1"/>
      </mc:Fallback>
    </mc:AlternateContent>
    <mc:AlternateContent xmlns:mc="http://schemas.openxmlformats.org/markup-compatibility/2006">
      <mc:Choice Requires="x14">
        <control shapeId="1030" r:id="rId72" name="OptionButton2">
          <controlPr defaultSize="0" autoLine="0" autoPict="0" linkedCell="CHECKING!$B$6" r:id="rId73">
            <anchor moveWithCells="1">
              <from>
                <xdr:col>1</xdr:col>
                <xdr:colOff>333375</xdr:colOff>
                <xdr:row>82</xdr:row>
                <xdr:rowOff>19050</xdr:rowOff>
              </from>
              <to>
                <xdr:col>7</xdr:col>
                <xdr:colOff>419100</xdr:colOff>
                <xdr:row>83</xdr:row>
                <xdr:rowOff>66675</xdr:rowOff>
              </to>
            </anchor>
          </controlPr>
        </control>
      </mc:Choice>
      <mc:Fallback>
        <control shapeId="1030" r:id="rId72" name="OptionButton2"/>
      </mc:Fallback>
    </mc:AlternateContent>
    <mc:AlternateContent xmlns:mc="http://schemas.openxmlformats.org/markup-compatibility/2006">
      <mc:Choice Requires="x14">
        <control shapeId="1118" r:id="rId74" name="OptionButton5">
          <controlPr defaultSize="0" autoLine="0" linkedCell="CHECKING!$B$164" r:id="rId75">
            <anchor moveWithCells="1">
              <from>
                <xdr:col>0</xdr:col>
                <xdr:colOff>161925</xdr:colOff>
                <xdr:row>381</xdr:row>
                <xdr:rowOff>171450</xdr:rowOff>
              </from>
              <to>
                <xdr:col>8</xdr:col>
                <xdr:colOff>447675</xdr:colOff>
                <xdr:row>383</xdr:row>
                <xdr:rowOff>114300</xdr:rowOff>
              </to>
            </anchor>
          </controlPr>
        </control>
      </mc:Choice>
      <mc:Fallback>
        <control shapeId="1118" r:id="rId74" name="OptionButton5"/>
      </mc:Fallback>
    </mc:AlternateContent>
    <mc:AlternateContent xmlns:mc="http://schemas.openxmlformats.org/markup-compatibility/2006">
      <mc:Choice Requires="x14">
        <control shapeId="1119" r:id="rId76" name="OptionButton6">
          <controlPr defaultSize="0" autoLine="0" autoPict="0" linkedCell="CHECKING!$B$165" r:id="rId77">
            <anchor moveWithCells="1">
              <from>
                <xdr:col>0</xdr:col>
                <xdr:colOff>161925</xdr:colOff>
                <xdr:row>383</xdr:row>
                <xdr:rowOff>85725</xdr:rowOff>
              </from>
              <to>
                <xdr:col>8</xdr:col>
                <xdr:colOff>400050</xdr:colOff>
                <xdr:row>385</xdr:row>
                <xdr:rowOff>19050</xdr:rowOff>
              </to>
            </anchor>
          </controlPr>
        </control>
      </mc:Choice>
      <mc:Fallback>
        <control shapeId="1119" r:id="rId76" name="OptionButton6"/>
      </mc:Fallback>
    </mc:AlternateContent>
    <mc:AlternateContent xmlns:mc="http://schemas.openxmlformats.org/markup-compatibility/2006">
      <mc:Choice Requires="x14">
        <control shapeId="1120" r:id="rId78" name="OptionButton7">
          <controlPr defaultSize="0" autoLine="0" linkedCell="CHECKING!$B$166" r:id="rId79">
            <anchor moveWithCells="1">
              <from>
                <xdr:col>0</xdr:col>
                <xdr:colOff>161925</xdr:colOff>
                <xdr:row>385</xdr:row>
                <xdr:rowOff>66675</xdr:rowOff>
              </from>
              <to>
                <xdr:col>8</xdr:col>
                <xdr:colOff>495300</xdr:colOff>
                <xdr:row>387</xdr:row>
                <xdr:rowOff>171450</xdr:rowOff>
              </to>
            </anchor>
          </controlPr>
        </control>
      </mc:Choice>
      <mc:Fallback>
        <control shapeId="1120" r:id="rId78" name="OptionButton7"/>
      </mc:Fallback>
    </mc:AlternateContent>
    <mc:AlternateContent xmlns:mc="http://schemas.openxmlformats.org/markup-compatibility/2006">
      <mc:Choice Requires="x14">
        <control shapeId="1124" r:id="rId80" name="OptionButton11">
          <controlPr defaultSize="0" autoLine="0" linkedCell="CHECKING!$B$167" r:id="rId81">
            <anchor moveWithCells="1">
              <from>
                <xdr:col>0</xdr:col>
                <xdr:colOff>161925</xdr:colOff>
                <xdr:row>387</xdr:row>
                <xdr:rowOff>142875</xdr:rowOff>
              </from>
              <to>
                <xdr:col>8</xdr:col>
                <xdr:colOff>457200</xdr:colOff>
                <xdr:row>389</xdr:row>
                <xdr:rowOff>66675</xdr:rowOff>
              </to>
            </anchor>
          </controlPr>
        </control>
      </mc:Choice>
      <mc:Fallback>
        <control shapeId="1124" r:id="rId80" name="OptionButton11"/>
      </mc:Fallback>
    </mc:AlternateContent>
    <mc:AlternateContent xmlns:mc="http://schemas.openxmlformats.org/markup-compatibility/2006">
      <mc:Choice Requires="x14">
        <control shapeId="1127" r:id="rId82" name="OptionButton12">
          <controlPr defaultSize="0" autoLine="0" autoPict="0" linkedCell="CHECKING!$B$170" r:id="rId83">
            <anchor moveWithCells="1">
              <from>
                <xdr:col>0</xdr:col>
                <xdr:colOff>228600</xdr:colOff>
                <xdr:row>392</xdr:row>
                <xdr:rowOff>152400</xdr:rowOff>
              </from>
              <to>
                <xdr:col>8</xdr:col>
                <xdr:colOff>419100</xdr:colOff>
                <xdr:row>394</xdr:row>
                <xdr:rowOff>76200</xdr:rowOff>
              </to>
            </anchor>
          </controlPr>
        </control>
      </mc:Choice>
      <mc:Fallback>
        <control shapeId="1127" r:id="rId82" name="OptionButton12"/>
      </mc:Fallback>
    </mc:AlternateContent>
    <mc:AlternateContent xmlns:mc="http://schemas.openxmlformats.org/markup-compatibility/2006">
      <mc:Choice Requires="x14">
        <control shapeId="1128" r:id="rId84" name="OptionButton13">
          <controlPr defaultSize="0" autoLine="0" autoPict="0" linkedCell="CHECKING!$B$171" r:id="rId85">
            <anchor moveWithCells="1">
              <from>
                <xdr:col>0</xdr:col>
                <xdr:colOff>228600</xdr:colOff>
                <xdr:row>394</xdr:row>
                <xdr:rowOff>161925</xdr:rowOff>
              </from>
              <to>
                <xdr:col>8</xdr:col>
                <xdr:colOff>447675</xdr:colOff>
                <xdr:row>396</xdr:row>
                <xdr:rowOff>28575</xdr:rowOff>
              </to>
            </anchor>
          </controlPr>
        </control>
      </mc:Choice>
      <mc:Fallback>
        <control shapeId="1128" r:id="rId84" name="OptionButton13"/>
      </mc:Fallback>
    </mc:AlternateContent>
    <mc:AlternateContent xmlns:mc="http://schemas.openxmlformats.org/markup-compatibility/2006">
      <mc:Choice Requires="x14">
        <control shapeId="1025" r:id="rId86" name="Group Box 1">
          <controlPr defaultSize="0" autoFill="0" autoPict="0" altText="OUT- or IN- Country application">
            <anchor moveWithCells="1">
              <from>
                <xdr:col>0</xdr:col>
                <xdr:colOff>609600</xdr:colOff>
                <xdr:row>80</xdr:row>
                <xdr:rowOff>19050</xdr:rowOff>
              </from>
              <to>
                <xdr:col>7</xdr:col>
                <xdr:colOff>581025</xdr:colOff>
                <xdr:row>83</xdr:row>
                <xdr:rowOff>152400</xdr:rowOff>
              </to>
            </anchor>
          </controlPr>
        </control>
      </mc:Choice>
    </mc:AlternateContent>
    <mc:AlternateContent xmlns:mc="http://schemas.openxmlformats.org/markup-compatibility/2006">
      <mc:Choice Requires="x14">
        <control shapeId="1036" r:id="rId87" name="Check Box 12">
          <controlPr defaultSize="0" autoFill="0" autoLine="0" autoPict="0">
            <anchor moveWithCells="1">
              <from>
                <xdr:col>10</xdr:col>
                <xdr:colOff>180975</xdr:colOff>
                <xdr:row>88</xdr:row>
                <xdr:rowOff>171450</xdr:rowOff>
              </from>
              <to>
                <xdr:col>12</xdr:col>
                <xdr:colOff>419100</xdr:colOff>
                <xdr:row>89</xdr:row>
                <xdr:rowOff>152400</xdr:rowOff>
              </to>
            </anchor>
          </controlPr>
        </control>
      </mc:Choice>
    </mc:AlternateContent>
    <mc:AlternateContent xmlns:mc="http://schemas.openxmlformats.org/markup-compatibility/2006">
      <mc:Choice Requires="x14">
        <control shapeId="1037" r:id="rId88" name="Check Box 13">
          <controlPr defaultSize="0" autoFill="0" autoLine="0" autoPict="0">
            <anchor moveWithCells="1">
              <from>
                <xdr:col>10</xdr:col>
                <xdr:colOff>180975</xdr:colOff>
                <xdr:row>90</xdr:row>
                <xdr:rowOff>161925</xdr:rowOff>
              </from>
              <to>
                <xdr:col>12</xdr:col>
                <xdr:colOff>285750</xdr:colOff>
                <xdr:row>91</xdr:row>
                <xdr:rowOff>190500</xdr:rowOff>
              </to>
            </anchor>
          </controlPr>
        </control>
      </mc:Choice>
    </mc:AlternateContent>
    <mc:AlternateContent xmlns:mc="http://schemas.openxmlformats.org/markup-compatibility/2006">
      <mc:Choice Requires="x14">
        <control shapeId="1039" r:id="rId89" name="Group Box 15">
          <controlPr defaultSize="0" autoFill="0" autoPict="0" altText="English_language_requirement">
            <anchor moveWithCells="1">
              <from>
                <xdr:col>0</xdr:col>
                <xdr:colOff>85725</xdr:colOff>
                <xdr:row>120</xdr:row>
                <xdr:rowOff>47625</xdr:rowOff>
              </from>
              <to>
                <xdr:col>9</xdr:col>
                <xdr:colOff>28575</xdr:colOff>
                <xdr:row>145</xdr:row>
                <xdr:rowOff>76200</xdr:rowOff>
              </to>
            </anchor>
          </controlPr>
        </control>
      </mc:Choice>
    </mc:AlternateContent>
    <mc:AlternateContent xmlns:mc="http://schemas.openxmlformats.org/markup-compatibility/2006">
      <mc:Choice Requires="x14">
        <control shapeId="1045" r:id="rId90" name="Check Box 21">
          <controlPr defaultSize="0" autoFill="0" autoLine="0" autoPict="0">
            <anchor moveWithCells="1">
              <from>
                <xdr:col>10</xdr:col>
                <xdr:colOff>171450</xdr:colOff>
                <xdr:row>120</xdr:row>
                <xdr:rowOff>152400</xdr:rowOff>
              </from>
              <to>
                <xdr:col>12</xdr:col>
                <xdr:colOff>361950</xdr:colOff>
                <xdr:row>122</xdr:row>
                <xdr:rowOff>57150</xdr:rowOff>
              </to>
            </anchor>
          </controlPr>
        </control>
      </mc:Choice>
    </mc:AlternateContent>
    <mc:AlternateContent xmlns:mc="http://schemas.openxmlformats.org/markup-compatibility/2006">
      <mc:Choice Requires="x14">
        <control shapeId="1064" r:id="rId91" name="Check Box 40">
          <controlPr defaultSize="0" autoFill="0" autoLine="0" autoPict="0">
            <anchor moveWithCells="1">
              <from>
                <xdr:col>10</xdr:col>
                <xdr:colOff>133350</xdr:colOff>
                <xdr:row>152</xdr:row>
                <xdr:rowOff>0</xdr:rowOff>
              </from>
              <to>
                <xdr:col>12</xdr:col>
                <xdr:colOff>9525</xdr:colOff>
                <xdr:row>153</xdr:row>
                <xdr:rowOff>19050</xdr:rowOff>
              </to>
            </anchor>
          </controlPr>
        </control>
      </mc:Choice>
    </mc:AlternateContent>
    <mc:AlternateContent xmlns:mc="http://schemas.openxmlformats.org/markup-compatibility/2006">
      <mc:Choice Requires="x14">
        <control shapeId="1065" r:id="rId92" name="Check Box 41">
          <controlPr defaultSize="0" autoFill="0" autoLine="0" autoPict="0">
            <anchor moveWithCells="1">
              <from>
                <xdr:col>10</xdr:col>
                <xdr:colOff>133350</xdr:colOff>
                <xdr:row>152</xdr:row>
                <xdr:rowOff>190500</xdr:rowOff>
              </from>
              <to>
                <xdr:col>11</xdr:col>
                <xdr:colOff>533400</xdr:colOff>
                <xdr:row>154</xdr:row>
                <xdr:rowOff>9525</xdr:rowOff>
              </to>
            </anchor>
          </controlPr>
        </control>
      </mc:Choice>
    </mc:AlternateContent>
    <mc:AlternateContent xmlns:mc="http://schemas.openxmlformats.org/markup-compatibility/2006">
      <mc:Choice Requires="x14">
        <control shapeId="1066" r:id="rId93" name="Check Box 42">
          <controlPr defaultSize="0" autoFill="0" autoLine="0" autoPict="0">
            <anchor moveWithCells="1">
              <from>
                <xdr:col>10</xdr:col>
                <xdr:colOff>133350</xdr:colOff>
                <xdr:row>153</xdr:row>
                <xdr:rowOff>190500</xdr:rowOff>
              </from>
              <to>
                <xdr:col>11</xdr:col>
                <xdr:colOff>495300</xdr:colOff>
                <xdr:row>155</xdr:row>
                <xdr:rowOff>19050</xdr:rowOff>
              </to>
            </anchor>
          </controlPr>
        </control>
      </mc:Choice>
    </mc:AlternateContent>
    <mc:AlternateContent xmlns:mc="http://schemas.openxmlformats.org/markup-compatibility/2006">
      <mc:Choice Requires="x14">
        <control shapeId="1067" r:id="rId94" name="Check Box 43">
          <controlPr defaultSize="0" autoFill="0" autoLine="0" autoPict="0">
            <anchor moveWithCells="1">
              <from>
                <xdr:col>10</xdr:col>
                <xdr:colOff>133350</xdr:colOff>
                <xdr:row>154</xdr:row>
                <xdr:rowOff>190500</xdr:rowOff>
              </from>
              <to>
                <xdr:col>11</xdr:col>
                <xdr:colOff>495300</xdr:colOff>
                <xdr:row>156</xdr:row>
                <xdr:rowOff>19050</xdr:rowOff>
              </to>
            </anchor>
          </controlPr>
        </control>
      </mc:Choice>
    </mc:AlternateContent>
    <mc:AlternateContent xmlns:mc="http://schemas.openxmlformats.org/markup-compatibility/2006">
      <mc:Choice Requires="x14">
        <control shapeId="1068" r:id="rId95" name="Check Box 44">
          <controlPr defaultSize="0" autoFill="0" autoLine="0" autoPict="0">
            <anchor moveWithCells="1">
              <from>
                <xdr:col>10</xdr:col>
                <xdr:colOff>133350</xdr:colOff>
                <xdr:row>156</xdr:row>
                <xdr:rowOff>171450</xdr:rowOff>
              </from>
              <to>
                <xdr:col>11</xdr:col>
                <xdr:colOff>581025</xdr:colOff>
                <xdr:row>157</xdr:row>
                <xdr:rowOff>190500</xdr:rowOff>
              </to>
            </anchor>
          </controlPr>
        </control>
      </mc:Choice>
    </mc:AlternateContent>
    <mc:AlternateContent xmlns:mc="http://schemas.openxmlformats.org/markup-compatibility/2006">
      <mc:Choice Requires="x14">
        <control shapeId="1069" r:id="rId96" name="Check Box 45">
          <controlPr defaultSize="0" autoFill="0" autoLine="0" autoPict="0">
            <anchor moveWithCells="1">
              <from>
                <xdr:col>10</xdr:col>
                <xdr:colOff>133350</xdr:colOff>
                <xdr:row>157</xdr:row>
                <xdr:rowOff>171450</xdr:rowOff>
              </from>
              <to>
                <xdr:col>11</xdr:col>
                <xdr:colOff>504825</xdr:colOff>
                <xdr:row>158</xdr:row>
                <xdr:rowOff>190500</xdr:rowOff>
              </to>
            </anchor>
          </controlPr>
        </control>
      </mc:Choice>
    </mc:AlternateContent>
    <mc:AlternateContent xmlns:mc="http://schemas.openxmlformats.org/markup-compatibility/2006">
      <mc:Choice Requires="x14">
        <control shapeId="1070" r:id="rId97" name="Check Box 46">
          <controlPr defaultSize="0" autoFill="0" autoLine="0" autoPict="0">
            <anchor moveWithCells="1">
              <from>
                <xdr:col>10</xdr:col>
                <xdr:colOff>123825</xdr:colOff>
                <xdr:row>158</xdr:row>
                <xdr:rowOff>180975</xdr:rowOff>
              </from>
              <to>
                <xdr:col>11</xdr:col>
                <xdr:colOff>514350</xdr:colOff>
                <xdr:row>160</xdr:row>
                <xdr:rowOff>0</xdr:rowOff>
              </to>
            </anchor>
          </controlPr>
        </control>
      </mc:Choice>
    </mc:AlternateContent>
    <mc:AlternateContent xmlns:mc="http://schemas.openxmlformats.org/markup-compatibility/2006">
      <mc:Choice Requires="x14">
        <control shapeId="1071" r:id="rId98" name="Check Box 47">
          <controlPr defaultSize="0" autoFill="0" autoLine="0" autoPict="0">
            <anchor moveWithCells="1">
              <from>
                <xdr:col>10</xdr:col>
                <xdr:colOff>114300</xdr:colOff>
                <xdr:row>160</xdr:row>
                <xdr:rowOff>190500</xdr:rowOff>
              </from>
              <to>
                <xdr:col>12</xdr:col>
                <xdr:colOff>209550</xdr:colOff>
                <xdr:row>162</xdr:row>
                <xdr:rowOff>9525</xdr:rowOff>
              </to>
            </anchor>
          </controlPr>
        </control>
      </mc:Choice>
    </mc:AlternateContent>
    <mc:AlternateContent xmlns:mc="http://schemas.openxmlformats.org/markup-compatibility/2006">
      <mc:Choice Requires="x14">
        <control shapeId="1072" r:id="rId99" name="Check Box 48">
          <controlPr defaultSize="0" autoFill="0" autoLine="0" autoPict="0">
            <anchor moveWithCells="1">
              <from>
                <xdr:col>10</xdr:col>
                <xdr:colOff>114300</xdr:colOff>
                <xdr:row>161</xdr:row>
                <xdr:rowOff>171450</xdr:rowOff>
              </from>
              <to>
                <xdr:col>12</xdr:col>
                <xdr:colOff>180975</xdr:colOff>
                <xdr:row>162</xdr:row>
                <xdr:rowOff>190500</xdr:rowOff>
              </to>
            </anchor>
          </controlPr>
        </control>
      </mc:Choice>
    </mc:AlternateContent>
    <mc:AlternateContent xmlns:mc="http://schemas.openxmlformats.org/markup-compatibility/2006">
      <mc:Choice Requires="x14">
        <control shapeId="1073" r:id="rId100" name="Check Box 49">
          <controlPr defaultSize="0" autoFill="0" autoLine="0" autoPict="0">
            <anchor moveWithCells="1">
              <from>
                <xdr:col>10</xdr:col>
                <xdr:colOff>114300</xdr:colOff>
                <xdr:row>162</xdr:row>
                <xdr:rowOff>180975</xdr:rowOff>
              </from>
              <to>
                <xdr:col>12</xdr:col>
                <xdr:colOff>219075</xdr:colOff>
                <xdr:row>164</xdr:row>
                <xdr:rowOff>0</xdr:rowOff>
              </to>
            </anchor>
          </controlPr>
        </control>
      </mc:Choice>
    </mc:AlternateContent>
    <mc:AlternateContent xmlns:mc="http://schemas.openxmlformats.org/markup-compatibility/2006">
      <mc:Choice Requires="x14">
        <control shapeId="1077" r:id="rId101" name="Check Box 53">
          <controlPr defaultSize="0" autoFill="0" autoLine="0" autoPict="0">
            <anchor moveWithCells="1">
              <from>
                <xdr:col>10</xdr:col>
                <xdr:colOff>123825</xdr:colOff>
                <xdr:row>165</xdr:row>
                <xdr:rowOff>180975</xdr:rowOff>
              </from>
              <to>
                <xdr:col>11</xdr:col>
                <xdr:colOff>542925</xdr:colOff>
                <xdr:row>167</xdr:row>
                <xdr:rowOff>0</xdr:rowOff>
              </to>
            </anchor>
          </controlPr>
        </control>
      </mc:Choice>
    </mc:AlternateContent>
    <mc:AlternateContent xmlns:mc="http://schemas.openxmlformats.org/markup-compatibility/2006">
      <mc:Choice Requires="x14">
        <control shapeId="1078" r:id="rId102" name="Check Box 54">
          <controlPr defaultSize="0" autoFill="0" autoLine="0" autoPict="0">
            <anchor moveWithCells="1">
              <from>
                <xdr:col>10</xdr:col>
                <xdr:colOff>123825</xdr:colOff>
                <xdr:row>167</xdr:row>
                <xdr:rowOff>0</xdr:rowOff>
              </from>
              <to>
                <xdr:col>11</xdr:col>
                <xdr:colOff>561975</xdr:colOff>
                <xdr:row>168</xdr:row>
                <xdr:rowOff>28575</xdr:rowOff>
              </to>
            </anchor>
          </controlPr>
        </control>
      </mc:Choice>
    </mc:AlternateContent>
    <mc:AlternateContent xmlns:mc="http://schemas.openxmlformats.org/markup-compatibility/2006">
      <mc:Choice Requires="x14">
        <control shapeId="1079" r:id="rId103" name="Check Box 55">
          <controlPr defaultSize="0" autoFill="0" autoLine="0" autoPict="0">
            <anchor moveWithCells="1">
              <from>
                <xdr:col>10</xdr:col>
                <xdr:colOff>123825</xdr:colOff>
                <xdr:row>168</xdr:row>
                <xdr:rowOff>180975</xdr:rowOff>
              </from>
              <to>
                <xdr:col>12</xdr:col>
                <xdr:colOff>228600</xdr:colOff>
                <xdr:row>170</xdr:row>
                <xdr:rowOff>0</xdr:rowOff>
              </to>
            </anchor>
          </controlPr>
        </control>
      </mc:Choice>
    </mc:AlternateContent>
    <mc:AlternateContent xmlns:mc="http://schemas.openxmlformats.org/markup-compatibility/2006">
      <mc:Choice Requires="x14">
        <control shapeId="1080" r:id="rId104" name="Check Box 56">
          <controlPr defaultSize="0" autoFill="0" autoLine="0" autoPict="0">
            <anchor moveWithCells="1">
              <from>
                <xdr:col>10</xdr:col>
                <xdr:colOff>123825</xdr:colOff>
                <xdr:row>170</xdr:row>
                <xdr:rowOff>180975</xdr:rowOff>
              </from>
              <to>
                <xdr:col>12</xdr:col>
                <xdr:colOff>85725</xdr:colOff>
                <xdr:row>172</xdr:row>
                <xdr:rowOff>0</xdr:rowOff>
              </to>
            </anchor>
          </controlPr>
        </control>
      </mc:Choice>
    </mc:AlternateContent>
    <mc:AlternateContent xmlns:mc="http://schemas.openxmlformats.org/markup-compatibility/2006">
      <mc:Choice Requires="x14">
        <control shapeId="1081" r:id="rId105" name="Check Box 57">
          <controlPr defaultSize="0" autoFill="0" autoLine="0" autoPict="0">
            <anchor moveWithCells="1">
              <from>
                <xdr:col>10</xdr:col>
                <xdr:colOff>123825</xdr:colOff>
                <xdr:row>171</xdr:row>
                <xdr:rowOff>190500</xdr:rowOff>
              </from>
              <to>
                <xdr:col>12</xdr:col>
                <xdr:colOff>123825</xdr:colOff>
                <xdr:row>173</xdr:row>
                <xdr:rowOff>9525</xdr:rowOff>
              </to>
            </anchor>
          </controlPr>
        </control>
      </mc:Choice>
    </mc:AlternateContent>
    <mc:AlternateContent xmlns:mc="http://schemas.openxmlformats.org/markup-compatibility/2006">
      <mc:Choice Requires="x14">
        <control shapeId="1082" r:id="rId106" name="Check Box 58">
          <controlPr defaultSize="0" autoFill="0" autoLine="0" autoPict="0">
            <anchor moveWithCells="1">
              <from>
                <xdr:col>10</xdr:col>
                <xdr:colOff>114300</xdr:colOff>
                <xdr:row>174</xdr:row>
                <xdr:rowOff>190500</xdr:rowOff>
              </from>
              <to>
                <xdr:col>12</xdr:col>
                <xdr:colOff>9525</xdr:colOff>
                <xdr:row>176</xdr:row>
                <xdr:rowOff>9525</xdr:rowOff>
              </to>
            </anchor>
          </controlPr>
        </control>
      </mc:Choice>
    </mc:AlternateContent>
    <mc:AlternateContent xmlns:mc="http://schemas.openxmlformats.org/markup-compatibility/2006">
      <mc:Choice Requires="x14">
        <control shapeId="1083" r:id="rId107" name="Check Box 59">
          <controlPr defaultSize="0" autoFill="0" autoLine="0" autoPict="0">
            <anchor moveWithCells="1">
              <from>
                <xdr:col>10</xdr:col>
                <xdr:colOff>114300</xdr:colOff>
                <xdr:row>175</xdr:row>
                <xdr:rowOff>190500</xdr:rowOff>
              </from>
              <to>
                <xdr:col>12</xdr:col>
                <xdr:colOff>123825</xdr:colOff>
                <xdr:row>177</xdr:row>
                <xdr:rowOff>9525</xdr:rowOff>
              </to>
            </anchor>
          </controlPr>
        </control>
      </mc:Choice>
    </mc:AlternateContent>
    <mc:AlternateContent xmlns:mc="http://schemas.openxmlformats.org/markup-compatibility/2006">
      <mc:Choice Requires="x14">
        <control shapeId="1085" r:id="rId108" name="Check Box 61">
          <controlPr defaultSize="0" autoFill="0" autoLine="0" autoPict="0">
            <anchor moveWithCells="1">
              <from>
                <xdr:col>10</xdr:col>
                <xdr:colOff>114300</xdr:colOff>
                <xdr:row>179</xdr:row>
                <xdr:rowOff>171450</xdr:rowOff>
              </from>
              <to>
                <xdr:col>12</xdr:col>
                <xdr:colOff>381000</xdr:colOff>
                <xdr:row>180</xdr:row>
                <xdr:rowOff>190500</xdr:rowOff>
              </to>
            </anchor>
          </controlPr>
        </control>
      </mc:Choice>
    </mc:AlternateContent>
    <mc:AlternateContent xmlns:mc="http://schemas.openxmlformats.org/markup-compatibility/2006">
      <mc:Choice Requires="x14">
        <control shapeId="1086" r:id="rId109" name="Check Box 62">
          <controlPr defaultSize="0" autoFill="0" autoLine="0" autoPict="0">
            <anchor moveWithCells="1">
              <from>
                <xdr:col>10</xdr:col>
                <xdr:colOff>104775</xdr:colOff>
                <xdr:row>183</xdr:row>
                <xdr:rowOff>0</xdr:rowOff>
              </from>
              <to>
                <xdr:col>12</xdr:col>
                <xdr:colOff>323850</xdr:colOff>
                <xdr:row>184</xdr:row>
                <xdr:rowOff>28575</xdr:rowOff>
              </to>
            </anchor>
          </controlPr>
        </control>
      </mc:Choice>
    </mc:AlternateContent>
    <mc:AlternateContent xmlns:mc="http://schemas.openxmlformats.org/markup-compatibility/2006">
      <mc:Choice Requires="x14">
        <control shapeId="1087" r:id="rId110" name="Check Box 63">
          <controlPr defaultSize="0" autoFill="0" autoLine="0" autoPict="0">
            <anchor moveWithCells="1">
              <from>
                <xdr:col>10</xdr:col>
                <xdr:colOff>114300</xdr:colOff>
                <xdr:row>189</xdr:row>
                <xdr:rowOff>180975</xdr:rowOff>
              </from>
              <to>
                <xdr:col>12</xdr:col>
                <xdr:colOff>133350</xdr:colOff>
                <xdr:row>191</xdr:row>
                <xdr:rowOff>0</xdr:rowOff>
              </to>
            </anchor>
          </controlPr>
        </control>
      </mc:Choice>
    </mc:AlternateContent>
    <mc:AlternateContent xmlns:mc="http://schemas.openxmlformats.org/markup-compatibility/2006">
      <mc:Choice Requires="x14">
        <control shapeId="1088" r:id="rId111" name="Check Box 64">
          <controlPr defaultSize="0" autoFill="0" autoLine="0" autoPict="0">
            <anchor moveWithCells="1">
              <from>
                <xdr:col>10</xdr:col>
                <xdr:colOff>133350</xdr:colOff>
                <xdr:row>244</xdr:row>
                <xdr:rowOff>180975</xdr:rowOff>
              </from>
              <to>
                <xdr:col>11</xdr:col>
                <xdr:colOff>590550</xdr:colOff>
                <xdr:row>246</xdr:row>
                <xdr:rowOff>0</xdr:rowOff>
              </to>
            </anchor>
          </controlPr>
        </control>
      </mc:Choice>
    </mc:AlternateContent>
    <mc:AlternateContent xmlns:mc="http://schemas.openxmlformats.org/markup-compatibility/2006">
      <mc:Choice Requires="x14">
        <control shapeId="1091" r:id="rId112" name="Check Box 67">
          <controlPr defaultSize="0" autoFill="0" autoLine="0" autoPict="0">
            <anchor moveWithCells="1">
              <from>
                <xdr:col>10</xdr:col>
                <xdr:colOff>152400</xdr:colOff>
                <xdr:row>216</xdr:row>
                <xdr:rowOff>9525</xdr:rowOff>
              </from>
              <to>
                <xdr:col>11</xdr:col>
                <xdr:colOff>523875</xdr:colOff>
                <xdr:row>217</xdr:row>
                <xdr:rowOff>38100</xdr:rowOff>
              </to>
            </anchor>
          </controlPr>
        </control>
      </mc:Choice>
    </mc:AlternateContent>
    <mc:AlternateContent xmlns:mc="http://schemas.openxmlformats.org/markup-compatibility/2006">
      <mc:Choice Requires="x14">
        <control shapeId="1093" r:id="rId113" name="Check Box 69">
          <controlPr defaultSize="0" autoFill="0" autoLine="0" autoPict="0">
            <anchor moveWithCells="1">
              <from>
                <xdr:col>10</xdr:col>
                <xdr:colOff>76200</xdr:colOff>
                <xdr:row>262</xdr:row>
                <xdr:rowOff>142875</xdr:rowOff>
              </from>
              <to>
                <xdr:col>12</xdr:col>
                <xdr:colOff>419100</xdr:colOff>
                <xdr:row>263</xdr:row>
                <xdr:rowOff>133350</xdr:rowOff>
              </to>
            </anchor>
          </controlPr>
        </control>
      </mc:Choice>
    </mc:AlternateContent>
    <mc:AlternateContent xmlns:mc="http://schemas.openxmlformats.org/markup-compatibility/2006">
      <mc:Choice Requires="x14">
        <control shapeId="1094" r:id="rId114" name="Check Box 70">
          <controlPr defaultSize="0" autoFill="0" autoLine="0" autoPict="0">
            <anchor moveWithCells="1">
              <from>
                <xdr:col>10</xdr:col>
                <xdr:colOff>76200</xdr:colOff>
                <xdr:row>265</xdr:row>
                <xdr:rowOff>161925</xdr:rowOff>
              </from>
              <to>
                <xdr:col>12</xdr:col>
                <xdr:colOff>66675</xdr:colOff>
                <xdr:row>267</xdr:row>
                <xdr:rowOff>19050</xdr:rowOff>
              </to>
            </anchor>
          </controlPr>
        </control>
      </mc:Choice>
    </mc:AlternateContent>
    <mc:AlternateContent xmlns:mc="http://schemas.openxmlformats.org/markup-compatibility/2006">
      <mc:Choice Requires="x14">
        <control shapeId="1095" r:id="rId115" name="Check Box 71">
          <controlPr defaultSize="0" autoFill="0" autoLine="0" autoPict="0">
            <anchor moveWithCells="1">
              <from>
                <xdr:col>10</xdr:col>
                <xdr:colOff>57150</xdr:colOff>
                <xdr:row>282</xdr:row>
                <xdr:rowOff>123825</xdr:rowOff>
              </from>
              <to>
                <xdr:col>12</xdr:col>
                <xdr:colOff>47625</xdr:colOff>
                <xdr:row>283</xdr:row>
                <xdr:rowOff>152400</xdr:rowOff>
              </to>
            </anchor>
          </controlPr>
        </control>
      </mc:Choice>
    </mc:AlternateContent>
    <mc:AlternateContent xmlns:mc="http://schemas.openxmlformats.org/markup-compatibility/2006">
      <mc:Choice Requires="x14">
        <control shapeId="1096" r:id="rId116" name="Check Box 72">
          <controlPr defaultSize="0" autoFill="0" autoLine="0" autoPict="0">
            <anchor moveWithCells="1">
              <from>
                <xdr:col>9</xdr:col>
                <xdr:colOff>152400</xdr:colOff>
                <xdr:row>282</xdr:row>
                <xdr:rowOff>133350</xdr:rowOff>
              </from>
              <to>
                <xdr:col>9</xdr:col>
                <xdr:colOff>381000</xdr:colOff>
                <xdr:row>283</xdr:row>
                <xdr:rowOff>180975</xdr:rowOff>
              </to>
            </anchor>
          </controlPr>
        </control>
      </mc:Choice>
    </mc:AlternateContent>
    <mc:AlternateContent xmlns:mc="http://schemas.openxmlformats.org/markup-compatibility/2006">
      <mc:Choice Requires="x14">
        <control shapeId="1097" r:id="rId117" name="Check Box 73">
          <controlPr defaultSize="0" autoFill="0" autoLine="0" autoPict="0">
            <anchor moveWithCells="1">
              <from>
                <xdr:col>10</xdr:col>
                <xdr:colOff>66675</xdr:colOff>
                <xdr:row>287</xdr:row>
                <xdr:rowOff>171450</xdr:rowOff>
              </from>
              <to>
                <xdr:col>12</xdr:col>
                <xdr:colOff>161925</xdr:colOff>
                <xdr:row>289</xdr:row>
                <xdr:rowOff>85725</xdr:rowOff>
              </to>
            </anchor>
          </controlPr>
        </control>
      </mc:Choice>
    </mc:AlternateContent>
    <mc:AlternateContent xmlns:mc="http://schemas.openxmlformats.org/markup-compatibility/2006">
      <mc:Choice Requires="x14">
        <control shapeId="1102" r:id="rId118" name="Check Box 78">
          <controlPr defaultSize="0" autoFill="0" autoLine="0" autoPict="0">
            <anchor moveWithCells="1">
              <from>
                <xdr:col>10</xdr:col>
                <xdr:colOff>57150</xdr:colOff>
                <xdr:row>292</xdr:row>
                <xdr:rowOff>0</xdr:rowOff>
              </from>
              <to>
                <xdr:col>11</xdr:col>
                <xdr:colOff>523875</xdr:colOff>
                <xdr:row>293</xdr:row>
                <xdr:rowOff>28575</xdr:rowOff>
              </to>
            </anchor>
          </controlPr>
        </control>
      </mc:Choice>
    </mc:AlternateContent>
    <mc:AlternateContent xmlns:mc="http://schemas.openxmlformats.org/markup-compatibility/2006">
      <mc:Choice Requires="x14">
        <control shapeId="1104" r:id="rId119" name="Check Box 80">
          <controlPr defaultSize="0" autoFill="0" autoLine="0" autoPict="0">
            <anchor moveWithCells="1">
              <from>
                <xdr:col>10</xdr:col>
                <xdr:colOff>66675</xdr:colOff>
                <xdr:row>293</xdr:row>
                <xdr:rowOff>114300</xdr:rowOff>
              </from>
              <to>
                <xdr:col>11</xdr:col>
                <xdr:colOff>523875</xdr:colOff>
                <xdr:row>294</xdr:row>
                <xdr:rowOff>142875</xdr:rowOff>
              </to>
            </anchor>
          </controlPr>
        </control>
      </mc:Choice>
    </mc:AlternateContent>
    <mc:AlternateContent xmlns:mc="http://schemas.openxmlformats.org/markup-compatibility/2006">
      <mc:Choice Requires="x14">
        <control shapeId="1105" r:id="rId120" name="Check Box 81">
          <controlPr defaultSize="0" autoFill="0" autoLine="0" autoPict="0">
            <anchor moveWithCells="1">
              <from>
                <xdr:col>10</xdr:col>
                <xdr:colOff>66675</xdr:colOff>
                <xdr:row>300</xdr:row>
                <xdr:rowOff>114300</xdr:rowOff>
              </from>
              <to>
                <xdr:col>12</xdr:col>
                <xdr:colOff>371475</xdr:colOff>
                <xdr:row>301</xdr:row>
                <xdr:rowOff>161925</xdr:rowOff>
              </to>
            </anchor>
          </controlPr>
        </control>
      </mc:Choice>
    </mc:AlternateContent>
    <mc:AlternateContent xmlns:mc="http://schemas.openxmlformats.org/markup-compatibility/2006">
      <mc:Choice Requires="x14">
        <control shapeId="1106" r:id="rId121" name="Check Box 82">
          <controlPr defaultSize="0" autoFill="0" autoLine="0" autoPict="0">
            <anchor moveWithCells="1">
              <from>
                <xdr:col>10</xdr:col>
                <xdr:colOff>95250</xdr:colOff>
                <xdr:row>308</xdr:row>
                <xdr:rowOff>171450</xdr:rowOff>
              </from>
              <to>
                <xdr:col>12</xdr:col>
                <xdr:colOff>228600</xdr:colOff>
                <xdr:row>310</xdr:row>
                <xdr:rowOff>19050</xdr:rowOff>
              </to>
            </anchor>
          </controlPr>
        </control>
      </mc:Choice>
    </mc:AlternateContent>
    <mc:AlternateContent xmlns:mc="http://schemas.openxmlformats.org/markup-compatibility/2006">
      <mc:Choice Requires="x14">
        <control shapeId="1107" r:id="rId122" name="Check Box 83">
          <controlPr defaultSize="0" autoFill="0" autoLine="0" autoPict="0" altText="Further add. work locations">
            <anchor moveWithCells="1">
              <from>
                <xdr:col>10</xdr:col>
                <xdr:colOff>85725</xdr:colOff>
                <xdr:row>316</xdr:row>
                <xdr:rowOff>133350</xdr:rowOff>
              </from>
              <to>
                <xdr:col>12</xdr:col>
                <xdr:colOff>361950</xdr:colOff>
                <xdr:row>317</xdr:row>
                <xdr:rowOff>104775</xdr:rowOff>
              </to>
            </anchor>
          </controlPr>
        </control>
      </mc:Choice>
    </mc:AlternateContent>
    <mc:AlternateContent xmlns:mc="http://schemas.openxmlformats.org/markup-compatibility/2006">
      <mc:Choice Requires="x14">
        <control shapeId="1108" r:id="rId123" name="Check Box 84">
          <controlPr defaultSize="0" autoFill="0" autoLine="0" autoPict="0">
            <anchor moveWithCells="1">
              <from>
                <xdr:col>10</xdr:col>
                <xdr:colOff>57150</xdr:colOff>
                <xdr:row>324</xdr:row>
                <xdr:rowOff>190500</xdr:rowOff>
              </from>
              <to>
                <xdr:col>12</xdr:col>
                <xdr:colOff>314325</xdr:colOff>
                <xdr:row>326</xdr:row>
                <xdr:rowOff>0</xdr:rowOff>
              </to>
            </anchor>
          </controlPr>
        </control>
      </mc:Choice>
    </mc:AlternateContent>
    <mc:AlternateContent xmlns:mc="http://schemas.openxmlformats.org/markup-compatibility/2006">
      <mc:Choice Requires="x14">
        <control shapeId="1109" r:id="rId124" name="Check Box 85">
          <controlPr defaultSize="0" autoFill="0" autoLine="0" autoPict="0">
            <anchor moveWithCells="1">
              <from>
                <xdr:col>10</xdr:col>
                <xdr:colOff>57150</xdr:colOff>
                <xdr:row>328</xdr:row>
                <xdr:rowOff>114300</xdr:rowOff>
              </from>
              <to>
                <xdr:col>11</xdr:col>
                <xdr:colOff>428625</xdr:colOff>
                <xdr:row>329</xdr:row>
                <xdr:rowOff>142875</xdr:rowOff>
              </to>
            </anchor>
          </controlPr>
        </control>
      </mc:Choice>
    </mc:AlternateContent>
    <mc:AlternateContent xmlns:mc="http://schemas.openxmlformats.org/markup-compatibility/2006">
      <mc:Choice Requires="x14">
        <control shapeId="1110" r:id="rId125" name="Check Box 86">
          <controlPr defaultSize="0" autoFill="0" autoLine="0" autoPict="0">
            <anchor moveWithCells="1">
              <from>
                <xdr:col>10</xdr:col>
                <xdr:colOff>76200</xdr:colOff>
                <xdr:row>354</xdr:row>
                <xdr:rowOff>142875</xdr:rowOff>
              </from>
              <to>
                <xdr:col>11</xdr:col>
                <xdr:colOff>561975</xdr:colOff>
                <xdr:row>355</xdr:row>
                <xdr:rowOff>180975</xdr:rowOff>
              </to>
            </anchor>
          </controlPr>
        </control>
      </mc:Choice>
    </mc:AlternateContent>
    <mc:AlternateContent xmlns:mc="http://schemas.openxmlformats.org/markup-compatibility/2006">
      <mc:Choice Requires="x14">
        <control shapeId="1115" r:id="rId126" name="Check Box 91">
          <controlPr defaultSize="0" autoFill="0" autoLine="0" autoPict="0">
            <anchor moveWithCells="1">
              <from>
                <xdr:col>10</xdr:col>
                <xdr:colOff>57150</xdr:colOff>
                <xdr:row>361</xdr:row>
                <xdr:rowOff>180975</xdr:rowOff>
              </from>
              <to>
                <xdr:col>11</xdr:col>
                <xdr:colOff>419100</xdr:colOff>
                <xdr:row>363</xdr:row>
                <xdr:rowOff>38100</xdr:rowOff>
              </to>
            </anchor>
          </controlPr>
        </control>
      </mc:Choice>
    </mc:AlternateContent>
    <mc:AlternateContent xmlns:mc="http://schemas.openxmlformats.org/markup-compatibility/2006">
      <mc:Choice Requires="x14">
        <control shapeId="1125" r:id="rId127" name="Check Box 101">
          <controlPr defaultSize="0" autoFill="0" autoLine="0" autoPict="0">
            <anchor moveWithCells="1">
              <from>
                <xdr:col>10</xdr:col>
                <xdr:colOff>114300</xdr:colOff>
                <xdr:row>381</xdr:row>
                <xdr:rowOff>47625</xdr:rowOff>
              </from>
              <to>
                <xdr:col>12</xdr:col>
                <xdr:colOff>152400</xdr:colOff>
                <xdr:row>382</xdr:row>
                <xdr:rowOff>76200</xdr:rowOff>
              </to>
            </anchor>
          </controlPr>
        </control>
      </mc:Choice>
    </mc:AlternateContent>
    <mc:AlternateContent xmlns:mc="http://schemas.openxmlformats.org/markup-compatibility/2006">
      <mc:Choice Requires="x14">
        <control shapeId="1126" r:id="rId128" name="Check Box 102">
          <controlPr defaultSize="0" autoFill="0" autoLine="0" autoPict="0">
            <anchor moveWithCells="1">
              <from>
                <xdr:col>10</xdr:col>
                <xdr:colOff>104775</xdr:colOff>
                <xdr:row>348</xdr:row>
                <xdr:rowOff>9525</xdr:rowOff>
              </from>
              <to>
                <xdr:col>12</xdr:col>
                <xdr:colOff>457200</xdr:colOff>
                <xdr:row>350</xdr:row>
                <xdr:rowOff>66675</xdr:rowOff>
              </to>
            </anchor>
          </controlPr>
        </control>
      </mc:Choice>
    </mc:AlternateContent>
    <mc:AlternateContent xmlns:mc="http://schemas.openxmlformats.org/markup-compatibility/2006">
      <mc:Choice Requires="x14">
        <control shapeId="1134" r:id="rId129" name="Check Box 110">
          <controlPr defaultSize="0" autoFill="0" autoLine="0" autoPict="0">
            <anchor moveWithCells="1">
              <from>
                <xdr:col>10</xdr:col>
                <xdr:colOff>133350</xdr:colOff>
                <xdr:row>391</xdr:row>
                <xdr:rowOff>0</xdr:rowOff>
              </from>
              <to>
                <xdr:col>12</xdr:col>
                <xdr:colOff>276225</xdr:colOff>
                <xdr:row>392</xdr:row>
                <xdr:rowOff>152400</xdr:rowOff>
              </to>
            </anchor>
          </controlPr>
        </control>
      </mc:Choice>
    </mc:AlternateContent>
    <mc:AlternateContent xmlns:mc="http://schemas.openxmlformats.org/markup-compatibility/2006">
      <mc:Choice Requires="x14">
        <control shapeId="1135" r:id="rId130" name="Check Box 111">
          <controlPr defaultSize="0" autoFill="0" autoLine="0" autoPict="0">
            <anchor moveWithCells="1">
              <from>
                <xdr:col>10</xdr:col>
                <xdr:colOff>142875</xdr:colOff>
                <xdr:row>396</xdr:row>
                <xdr:rowOff>190500</xdr:rowOff>
              </from>
              <to>
                <xdr:col>12</xdr:col>
                <xdr:colOff>209550</xdr:colOff>
                <xdr:row>398</xdr:row>
                <xdr:rowOff>19050</xdr:rowOff>
              </to>
            </anchor>
          </controlPr>
        </control>
      </mc:Choice>
    </mc:AlternateContent>
    <mc:AlternateContent xmlns:mc="http://schemas.openxmlformats.org/markup-compatibility/2006">
      <mc:Choice Requires="x14">
        <control shapeId="1138" r:id="rId131" name="Check Box 114">
          <controlPr defaultSize="0" autoFill="0" autoLine="0" autoPict="0">
            <anchor moveWithCells="1">
              <from>
                <xdr:col>10</xdr:col>
                <xdr:colOff>161925</xdr:colOff>
                <xdr:row>404</xdr:row>
                <xdr:rowOff>190500</xdr:rowOff>
              </from>
              <to>
                <xdr:col>12</xdr:col>
                <xdr:colOff>400050</xdr:colOff>
                <xdr:row>406</xdr:row>
                <xdr:rowOff>38100</xdr:rowOff>
              </to>
            </anchor>
          </controlPr>
        </control>
      </mc:Choice>
    </mc:AlternateContent>
    <mc:AlternateContent xmlns:mc="http://schemas.openxmlformats.org/markup-compatibility/2006">
      <mc:Choice Requires="x14">
        <control shapeId="1203" r:id="rId132" name="Check Box 179">
          <controlPr defaultSize="0" autoFill="0" autoLine="0" autoPict="0">
            <anchor moveWithCells="1">
              <from>
                <xdr:col>9</xdr:col>
                <xdr:colOff>171450</xdr:colOff>
                <xdr:row>455</xdr:row>
                <xdr:rowOff>19050</xdr:rowOff>
              </from>
              <to>
                <xdr:col>10</xdr:col>
                <xdr:colOff>85725</xdr:colOff>
                <xdr:row>456</xdr:row>
                <xdr:rowOff>57150</xdr:rowOff>
              </to>
            </anchor>
          </controlPr>
        </control>
      </mc:Choice>
    </mc:AlternateContent>
    <mc:AlternateContent xmlns:mc="http://schemas.openxmlformats.org/markup-compatibility/2006">
      <mc:Choice Requires="x14">
        <control shapeId="1204" r:id="rId133" name="Check Box 180">
          <controlPr defaultSize="0" autoFill="0" autoLine="0" autoPict="0">
            <anchor moveWithCells="1">
              <from>
                <xdr:col>9</xdr:col>
                <xdr:colOff>171450</xdr:colOff>
                <xdr:row>457</xdr:row>
                <xdr:rowOff>0</xdr:rowOff>
              </from>
              <to>
                <xdr:col>10</xdr:col>
                <xdr:colOff>238125</xdr:colOff>
                <xdr:row>458</xdr:row>
                <xdr:rowOff>28575</xdr:rowOff>
              </to>
            </anchor>
          </controlPr>
        </control>
      </mc:Choice>
    </mc:AlternateContent>
    <mc:AlternateContent xmlns:mc="http://schemas.openxmlformats.org/markup-compatibility/2006">
      <mc:Choice Requires="x14">
        <control shapeId="1205" r:id="rId134" name="Check Box 181">
          <controlPr defaultSize="0" autoFill="0" autoLine="0" autoPict="0">
            <anchor moveWithCells="1">
              <from>
                <xdr:col>9</xdr:col>
                <xdr:colOff>171450</xdr:colOff>
                <xdr:row>458</xdr:row>
                <xdr:rowOff>180975</xdr:rowOff>
              </from>
              <to>
                <xdr:col>10</xdr:col>
                <xdr:colOff>238125</xdr:colOff>
                <xdr:row>460</xdr:row>
                <xdr:rowOff>28575</xdr:rowOff>
              </to>
            </anchor>
          </controlPr>
        </control>
      </mc:Choice>
    </mc:AlternateContent>
    <mc:AlternateContent xmlns:mc="http://schemas.openxmlformats.org/markup-compatibility/2006">
      <mc:Choice Requires="x14">
        <control shapeId="1210" r:id="rId135" name="Check Box 186">
          <controlPr defaultSize="0" autoFill="0" autoLine="0" autoPict="0">
            <anchor moveWithCells="1">
              <from>
                <xdr:col>0</xdr:col>
                <xdr:colOff>209550</xdr:colOff>
                <xdr:row>465</xdr:row>
                <xdr:rowOff>171450</xdr:rowOff>
              </from>
              <to>
                <xdr:col>0</xdr:col>
                <xdr:colOff>561975</xdr:colOff>
                <xdr:row>467</xdr:row>
                <xdr:rowOff>38100</xdr:rowOff>
              </to>
            </anchor>
          </controlPr>
        </control>
      </mc:Choice>
    </mc:AlternateContent>
    <mc:AlternateContent xmlns:mc="http://schemas.openxmlformats.org/markup-compatibility/2006">
      <mc:Choice Requires="x14">
        <control shapeId="1212" r:id="rId136" name="Check Box 188">
          <controlPr defaultSize="0" autoFill="0" autoLine="0" autoPict="0">
            <anchor moveWithCells="1">
              <from>
                <xdr:col>0</xdr:col>
                <xdr:colOff>219075</xdr:colOff>
                <xdr:row>479</xdr:row>
                <xdr:rowOff>0</xdr:rowOff>
              </from>
              <to>
                <xdr:col>0</xdr:col>
                <xdr:colOff>571500</xdr:colOff>
                <xdr:row>480</xdr:row>
                <xdr:rowOff>76200</xdr:rowOff>
              </to>
            </anchor>
          </controlPr>
        </control>
      </mc:Choice>
    </mc:AlternateContent>
    <mc:AlternateContent xmlns:mc="http://schemas.openxmlformats.org/markup-compatibility/2006">
      <mc:Choice Requires="x14">
        <control shapeId="1213" r:id="rId137" name="Check Box 189">
          <controlPr defaultSize="0" autoFill="0" autoLine="0" autoPict="0">
            <anchor moveWithCells="1">
              <from>
                <xdr:col>10</xdr:col>
                <xdr:colOff>133350</xdr:colOff>
                <xdr:row>465</xdr:row>
                <xdr:rowOff>180975</xdr:rowOff>
              </from>
              <to>
                <xdr:col>11</xdr:col>
                <xdr:colOff>523875</xdr:colOff>
                <xdr:row>467</xdr:row>
                <xdr:rowOff>28575</xdr:rowOff>
              </to>
            </anchor>
          </controlPr>
        </control>
      </mc:Choice>
    </mc:AlternateContent>
    <mc:AlternateContent xmlns:mc="http://schemas.openxmlformats.org/markup-compatibility/2006">
      <mc:Choice Requires="x14">
        <control shapeId="1215" r:id="rId138" name="Check Box 191">
          <controlPr defaultSize="0" autoFill="0" autoLine="0" autoPict="0">
            <anchor moveWithCells="1">
              <from>
                <xdr:col>10</xdr:col>
                <xdr:colOff>133350</xdr:colOff>
                <xdr:row>479</xdr:row>
                <xdr:rowOff>0</xdr:rowOff>
              </from>
              <to>
                <xdr:col>12</xdr:col>
                <xdr:colOff>381000</xdr:colOff>
                <xdr:row>480</xdr:row>
                <xdr:rowOff>28575</xdr:rowOff>
              </to>
            </anchor>
          </controlPr>
        </control>
      </mc:Choice>
    </mc:AlternateContent>
    <mc:AlternateContent xmlns:mc="http://schemas.openxmlformats.org/markup-compatibility/2006">
      <mc:Choice Requires="x14">
        <control shapeId="1216" r:id="rId139" name="Check Box 192">
          <controlPr defaultSize="0" autoFill="0" autoLine="0" autoPict="0">
            <anchor moveWithCells="1">
              <from>
                <xdr:col>0</xdr:col>
                <xdr:colOff>219075</xdr:colOff>
                <xdr:row>474</xdr:row>
                <xdr:rowOff>152400</xdr:rowOff>
              </from>
              <to>
                <xdr:col>0</xdr:col>
                <xdr:colOff>571500</xdr:colOff>
                <xdr:row>476</xdr:row>
                <xdr:rowOff>38100</xdr:rowOff>
              </to>
            </anchor>
          </controlPr>
        </control>
      </mc:Choice>
    </mc:AlternateContent>
    <mc:AlternateContent xmlns:mc="http://schemas.openxmlformats.org/markup-compatibility/2006">
      <mc:Choice Requires="x14">
        <control shapeId="1217" r:id="rId140" name="Check Box 193">
          <controlPr defaultSize="0" autoFill="0" autoLine="0" autoPict="0">
            <anchor moveWithCells="1">
              <from>
                <xdr:col>10</xdr:col>
                <xdr:colOff>142875</xdr:colOff>
                <xdr:row>475</xdr:row>
                <xdr:rowOff>0</xdr:rowOff>
              </from>
              <to>
                <xdr:col>12</xdr:col>
                <xdr:colOff>38100</xdr:colOff>
                <xdr:row>476</xdr:row>
                <xdr:rowOff>0</xdr:rowOff>
              </to>
            </anchor>
          </controlPr>
        </control>
      </mc:Choice>
    </mc:AlternateContent>
    <mc:AlternateContent xmlns:mc="http://schemas.openxmlformats.org/markup-compatibility/2006">
      <mc:Choice Requires="x14">
        <control shapeId="1218" r:id="rId141" name="Check Box 194">
          <controlPr defaultSize="0" autoFill="0" autoLine="0" autoPict="0">
            <anchor moveWithCells="1">
              <from>
                <xdr:col>0</xdr:col>
                <xdr:colOff>219075</xdr:colOff>
                <xdr:row>468</xdr:row>
                <xdr:rowOff>133350</xdr:rowOff>
              </from>
              <to>
                <xdr:col>0</xdr:col>
                <xdr:colOff>571500</xdr:colOff>
                <xdr:row>470</xdr:row>
                <xdr:rowOff>19050</xdr:rowOff>
              </to>
            </anchor>
          </controlPr>
        </control>
      </mc:Choice>
    </mc:AlternateContent>
    <mc:AlternateContent xmlns:mc="http://schemas.openxmlformats.org/markup-compatibility/2006">
      <mc:Choice Requires="x14">
        <control shapeId="1219" r:id="rId142" name="Check Box 195">
          <controlPr defaultSize="0" autoFill="0" autoLine="0" autoPict="0">
            <anchor moveWithCells="1">
              <from>
                <xdr:col>10</xdr:col>
                <xdr:colOff>133350</xdr:colOff>
                <xdr:row>469</xdr:row>
                <xdr:rowOff>38100</xdr:rowOff>
              </from>
              <to>
                <xdr:col>11</xdr:col>
                <xdr:colOff>581025</xdr:colOff>
                <xdr:row>470</xdr:row>
                <xdr:rowOff>19050</xdr:rowOff>
              </to>
            </anchor>
          </controlPr>
        </control>
      </mc:Choice>
    </mc:AlternateContent>
    <mc:AlternateContent xmlns:mc="http://schemas.openxmlformats.org/markup-compatibility/2006">
      <mc:Choice Requires="x14">
        <control shapeId="1220" r:id="rId143" name="Check Box 196">
          <controlPr defaultSize="0" autoFill="0" autoLine="0" autoPict="0">
            <anchor moveWithCells="1">
              <from>
                <xdr:col>0</xdr:col>
                <xdr:colOff>228600</xdr:colOff>
                <xdr:row>485</xdr:row>
                <xdr:rowOff>142875</xdr:rowOff>
              </from>
              <to>
                <xdr:col>0</xdr:col>
                <xdr:colOff>581025</xdr:colOff>
                <xdr:row>487</xdr:row>
                <xdr:rowOff>76200</xdr:rowOff>
              </to>
            </anchor>
          </controlPr>
        </control>
      </mc:Choice>
    </mc:AlternateContent>
    <mc:AlternateContent xmlns:mc="http://schemas.openxmlformats.org/markup-compatibility/2006">
      <mc:Choice Requires="x14">
        <control shapeId="1221" r:id="rId144" name="Check Box 197">
          <controlPr defaultSize="0" autoFill="0" autoLine="0" autoPict="0">
            <anchor moveWithCells="1">
              <from>
                <xdr:col>10</xdr:col>
                <xdr:colOff>152400</xdr:colOff>
                <xdr:row>486</xdr:row>
                <xdr:rowOff>0</xdr:rowOff>
              </from>
              <to>
                <xdr:col>12</xdr:col>
                <xdr:colOff>190500</xdr:colOff>
                <xdr:row>487</xdr:row>
                <xdr:rowOff>38100</xdr:rowOff>
              </to>
            </anchor>
          </controlPr>
        </control>
      </mc:Choice>
    </mc:AlternateContent>
    <mc:AlternateContent xmlns:mc="http://schemas.openxmlformats.org/markup-compatibility/2006">
      <mc:Choice Requires="x14">
        <control shapeId="1222" r:id="rId145" name="Check Box 198">
          <controlPr defaultSize="0" autoFill="0" autoLine="0" autoPict="0">
            <anchor moveWithCells="1">
              <from>
                <xdr:col>0</xdr:col>
                <xdr:colOff>228600</xdr:colOff>
                <xdr:row>502</xdr:row>
                <xdr:rowOff>142875</xdr:rowOff>
              </from>
              <to>
                <xdr:col>0</xdr:col>
                <xdr:colOff>581025</xdr:colOff>
                <xdr:row>504</xdr:row>
                <xdr:rowOff>76200</xdr:rowOff>
              </to>
            </anchor>
          </controlPr>
        </control>
      </mc:Choice>
    </mc:AlternateContent>
    <mc:AlternateContent xmlns:mc="http://schemas.openxmlformats.org/markup-compatibility/2006">
      <mc:Choice Requires="x14">
        <control shapeId="1223" r:id="rId146" name="Check Box 199">
          <controlPr defaultSize="0" autoFill="0" autoLine="0" autoPict="0">
            <anchor moveWithCells="1">
              <from>
                <xdr:col>10</xdr:col>
                <xdr:colOff>142875</xdr:colOff>
                <xdr:row>503</xdr:row>
                <xdr:rowOff>9525</xdr:rowOff>
              </from>
              <to>
                <xdr:col>11</xdr:col>
                <xdr:colOff>514350</xdr:colOff>
                <xdr:row>505</xdr:row>
                <xdr:rowOff>38100</xdr:rowOff>
              </to>
            </anchor>
          </controlPr>
        </control>
      </mc:Choice>
    </mc:AlternateContent>
    <mc:AlternateContent xmlns:mc="http://schemas.openxmlformats.org/markup-compatibility/2006">
      <mc:Choice Requires="x14">
        <control shapeId="1228" r:id="rId147" name="Check Box 204">
          <controlPr defaultSize="0" autoFill="0" autoLine="0" autoPict="0">
            <anchor moveWithCells="1">
              <from>
                <xdr:col>0</xdr:col>
                <xdr:colOff>228600</xdr:colOff>
                <xdr:row>507</xdr:row>
                <xdr:rowOff>0</xdr:rowOff>
              </from>
              <to>
                <xdr:col>0</xdr:col>
                <xdr:colOff>581025</xdr:colOff>
                <xdr:row>508</xdr:row>
                <xdr:rowOff>123825</xdr:rowOff>
              </to>
            </anchor>
          </controlPr>
        </control>
      </mc:Choice>
    </mc:AlternateContent>
    <mc:AlternateContent xmlns:mc="http://schemas.openxmlformats.org/markup-compatibility/2006">
      <mc:Choice Requires="x14">
        <control shapeId="1229" r:id="rId148" name="Check Box 205">
          <controlPr defaultSize="0" autoFill="0" autoLine="0" autoPict="0">
            <anchor moveWithCells="1">
              <from>
                <xdr:col>10</xdr:col>
                <xdr:colOff>152400</xdr:colOff>
                <xdr:row>507</xdr:row>
                <xdr:rowOff>0</xdr:rowOff>
              </from>
              <to>
                <xdr:col>12</xdr:col>
                <xdr:colOff>0</xdr:colOff>
                <xdr:row>508</xdr:row>
                <xdr:rowOff>38100</xdr:rowOff>
              </to>
            </anchor>
          </controlPr>
        </control>
      </mc:Choice>
    </mc:AlternateContent>
    <mc:AlternateContent xmlns:mc="http://schemas.openxmlformats.org/markup-compatibility/2006">
      <mc:Choice Requires="x14">
        <control shapeId="1238" r:id="rId149" name="Check Box 214">
          <controlPr defaultSize="0" autoFill="0" autoLine="0" autoPict="0">
            <anchor moveWithCells="1">
              <from>
                <xdr:col>0</xdr:col>
                <xdr:colOff>228600</xdr:colOff>
                <xdr:row>513</xdr:row>
                <xdr:rowOff>0</xdr:rowOff>
              </from>
              <to>
                <xdr:col>0</xdr:col>
                <xdr:colOff>581025</xdr:colOff>
                <xdr:row>514</xdr:row>
                <xdr:rowOff>123825</xdr:rowOff>
              </to>
            </anchor>
          </controlPr>
        </control>
      </mc:Choice>
    </mc:AlternateContent>
    <mc:AlternateContent xmlns:mc="http://schemas.openxmlformats.org/markup-compatibility/2006">
      <mc:Choice Requires="x14">
        <control shapeId="1239" r:id="rId150" name="Check Box 215">
          <controlPr defaultSize="0" autoFill="0" autoLine="0" autoPict="0">
            <anchor moveWithCells="1">
              <from>
                <xdr:col>0</xdr:col>
                <xdr:colOff>228600</xdr:colOff>
                <xdr:row>521</xdr:row>
                <xdr:rowOff>133350</xdr:rowOff>
              </from>
              <to>
                <xdr:col>0</xdr:col>
                <xdr:colOff>581025</xdr:colOff>
                <xdr:row>523</xdr:row>
                <xdr:rowOff>66675</xdr:rowOff>
              </to>
            </anchor>
          </controlPr>
        </control>
      </mc:Choice>
    </mc:AlternateContent>
    <mc:AlternateContent xmlns:mc="http://schemas.openxmlformats.org/markup-compatibility/2006">
      <mc:Choice Requires="x14">
        <control shapeId="1240" r:id="rId151" name="Check Box 216">
          <controlPr defaultSize="0" autoFill="0" autoLine="0" autoPict="0">
            <anchor moveWithCells="1">
              <from>
                <xdr:col>10</xdr:col>
                <xdr:colOff>152400</xdr:colOff>
                <xdr:row>513</xdr:row>
                <xdr:rowOff>0</xdr:rowOff>
              </from>
              <to>
                <xdr:col>11</xdr:col>
                <xdr:colOff>590550</xdr:colOff>
                <xdr:row>514</xdr:row>
                <xdr:rowOff>152400</xdr:rowOff>
              </to>
            </anchor>
          </controlPr>
        </control>
      </mc:Choice>
    </mc:AlternateContent>
    <mc:AlternateContent xmlns:mc="http://schemas.openxmlformats.org/markup-compatibility/2006">
      <mc:Choice Requires="x14">
        <control shapeId="1241" r:id="rId152" name="Check Box 217">
          <controlPr defaultSize="0" autoFill="0" autoLine="0" autoPict="0">
            <anchor moveWithCells="1">
              <from>
                <xdr:col>10</xdr:col>
                <xdr:colOff>171450</xdr:colOff>
                <xdr:row>521</xdr:row>
                <xdr:rowOff>9525</xdr:rowOff>
              </from>
              <to>
                <xdr:col>12</xdr:col>
                <xdr:colOff>133350</xdr:colOff>
                <xdr:row>523</xdr:row>
                <xdr:rowOff>171450</xdr:rowOff>
              </to>
            </anchor>
          </controlPr>
        </control>
      </mc:Choice>
    </mc:AlternateContent>
    <mc:AlternateContent xmlns:mc="http://schemas.openxmlformats.org/markup-compatibility/2006">
      <mc:Choice Requires="x14">
        <control shapeId="1242" r:id="rId153" name="Check Box 218">
          <controlPr defaultSize="0" autoFill="0" autoLine="0" autoPict="0">
            <anchor moveWithCells="1">
              <from>
                <xdr:col>9</xdr:col>
                <xdr:colOff>180975</xdr:colOff>
                <xdr:row>550</xdr:row>
                <xdr:rowOff>152400</xdr:rowOff>
              </from>
              <to>
                <xdr:col>9</xdr:col>
                <xdr:colOff>428625</xdr:colOff>
                <xdr:row>552</xdr:row>
                <xdr:rowOff>9525</xdr:rowOff>
              </to>
            </anchor>
          </controlPr>
        </control>
      </mc:Choice>
    </mc:AlternateContent>
    <mc:AlternateContent xmlns:mc="http://schemas.openxmlformats.org/markup-compatibility/2006">
      <mc:Choice Requires="x14">
        <control shapeId="1243" r:id="rId154" name="Check Box 219">
          <controlPr defaultSize="0" autoFill="0" autoLine="0" autoPict="0">
            <anchor moveWithCells="1">
              <from>
                <xdr:col>10</xdr:col>
                <xdr:colOff>133350</xdr:colOff>
                <xdr:row>550</xdr:row>
                <xdr:rowOff>133350</xdr:rowOff>
              </from>
              <to>
                <xdr:col>12</xdr:col>
                <xdr:colOff>304800</xdr:colOff>
                <xdr:row>552</xdr:row>
                <xdr:rowOff>9525</xdr:rowOff>
              </to>
            </anchor>
          </controlPr>
        </control>
      </mc:Choice>
    </mc:AlternateContent>
    <mc:AlternateContent xmlns:mc="http://schemas.openxmlformats.org/markup-compatibility/2006">
      <mc:Choice Requires="x14">
        <control shapeId="1244" r:id="rId155" name="Check Box 220">
          <controlPr defaultSize="0" autoFill="0" autoLine="0" autoPict="0">
            <anchor moveWithCells="1">
              <from>
                <xdr:col>10</xdr:col>
                <xdr:colOff>161925</xdr:colOff>
                <xdr:row>560</xdr:row>
                <xdr:rowOff>142875</xdr:rowOff>
              </from>
              <to>
                <xdr:col>11</xdr:col>
                <xdr:colOff>142875</xdr:colOff>
                <xdr:row>561</xdr:row>
                <xdr:rowOff>190500</xdr:rowOff>
              </to>
            </anchor>
          </controlPr>
        </control>
      </mc:Choice>
    </mc:AlternateContent>
    <mc:AlternateContent xmlns:mc="http://schemas.openxmlformats.org/markup-compatibility/2006">
      <mc:Choice Requires="x14">
        <control shapeId="1245" r:id="rId156" name="Check Box 221">
          <controlPr defaultSize="0" autoFill="0" autoLine="0" autoPict="0">
            <anchor moveWithCells="1">
              <from>
                <xdr:col>10</xdr:col>
                <xdr:colOff>114300</xdr:colOff>
                <xdr:row>578</xdr:row>
                <xdr:rowOff>152400</xdr:rowOff>
              </from>
              <to>
                <xdr:col>11</xdr:col>
                <xdr:colOff>371475</xdr:colOff>
                <xdr:row>579</xdr:row>
                <xdr:rowOff>180975</xdr:rowOff>
              </to>
            </anchor>
          </controlPr>
        </control>
      </mc:Choice>
    </mc:AlternateContent>
    <mc:AlternateContent xmlns:mc="http://schemas.openxmlformats.org/markup-compatibility/2006">
      <mc:Choice Requires="x14">
        <control shapeId="1246" r:id="rId157" name="Check Box 222">
          <controlPr defaultSize="0" autoFill="0" autoLine="0" autoPict="0">
            <anchor moveWithCells="1">
              <from>
                <xdr:col>10</xdr:col>
                <xdr:colOff>142875</xdr:colOff>
                <xdr:row>589</xdr:row>
                <xdr:rowOff>123825</xdr:rowOff>
              </from>
              <to>
                <xdr:col>11</xdr:col>
                <xdr:colOff>381000</xdr:colOff>
                <xdr:row>590</xdr:row>
                <xdr:rowOff>161925</xdr:rowOff>
              </to>
            </anchor>
          </controlPr>
        </control>
      </mc:Choice>
    </mc:AlternateContent>
    <mc:AlternateContent xmlns:mc="http://schemas.openxmlformats.org/markup-compatibility/2006">
      <mc:Choice Requires="x14">
        <control shapeId="1247" r:id="rId158" name="Check Box 223">
          <controlPr defaultSize="0" autoFill="0" autoLine="0" autoPict="0">
            <anchor moveWithCells="1">
              <from>
                <xdr:col>10</xdr:col>
                <xdr:colOff>142875</xdr:colOff>
                <xdr:row>564</xdr:row>
                <xdr:rowOff>161925</xdr:rowOff>
              </from>
              <to>
                <xdr:col>12</xdr:col>
                <xdr:colOff>581025</xdr:colOff>
                <xdr:row>566</xdr:row>
                <xdr:rowOff>57150</xdr:rowOff>
              </to>
            </anchor>
          </controlPr>
        </control>
      </mc:Choice>
    </mc:AlternateContent>
    <mc:AlternateContent xmlns:mc="http://schemas.openxmlformats.org/markup-compatibility/2006">
      <mc:Choice Requires="x14">
        <control shapeId="1251" r:id="rId159" name="Check Box 227">
          <controlPr defaultSize="0" autoFill="0" autoLine="0" autoPict="0">
            <anchor moveWithCells="1">
              <from>
                <xdr:col>10</xdr:col>
                <xdr:colOff>200025</xdr:colOff>
                <xdr:row>567</xdr:row>
                <xdr:rowOff>190500</xdr:rowOff>
              </from>
              <to>
                <xdr:col>12</xdr:col>
                <xdr:colOff>495300</xdr:colOff>
                <xdr:row>569</xdr:row>
                <xdr:rowOff>9525</xdr:rowOff>
              </to>
            </anchor>
          </controlPr>
        </control>
      </mc:Choice>
    </mc:AlternateContent>
    <mc:AlternateContent xmlns:mc="http://schemas.openxmlformats.org/markup-compatibility/2006">
      <mc:Choice Requires="x14">
        <control shapeId="1252" r:id="rId160" name="Group Box 228">
          <controlPr defaultSize="0" autoFill="0" autoPict="0" altText="Maintenance_requirement">
            <anchor moveWithCells="1">
              <from>
                <xdr:col>0</xdr:col>
                <xdr:colOff>85725</xdr:colOff>
                <xdr:row>100</xdr:row>
                <xdr:rowOff>66675</xdr:rowOff>
              </from>
              <to>
                <xdr:col>9</xdr:col>
                <xdr:colOff>47625</xdr:colOff>
                <xdr:row>115</xdr:row>
                <xdr:rowOff>95250</xdr:rowOff>
              </to>
            </anchor>
          </controlPr>
        </control>
      </mc:Choice>
    </mc:AlternateContent>
    <mc:AlternateContent xmlns:mc="http://schemas.openxmlformats.org/markup-compatibility/2006">
      <mc:Choice Requires="x14">
        <control shapeId="1253" r:id="rId161" name="Check Box 229">
          <controlPr defaultSize="0" autoFill="0" autoLine="0" autoPict="0">
            <anchor moveWithCells="1">
              <from>
                <xdr:col>10</xdr:col>
                <xdr:colOff>190500</xdr:colOff>
                <xdr:row>96</xdr:row>
                <xdr:rowOff>57150</xdr:rowOff>
              </from>
              <to>
                <xdr:col>12</xdr:col>
                <xdr:colOff>266700</xdr:colOff>
                <xdr:row>97</xdr:row>
                <xdr:rowOff>76200</xdr:rowOff>
              </to>
            </anchor>
          </controlPr>
        </control>
      </mc:Choice>
    </mc:AlternateContent>
    <mc:AlternateContent xmlns:mc="http://schemas.openxmlformats.org/markup-compatibility/2006">
      <mc:Choice Requires="x14">
        <control shapeId="1258" r:id="rId162" name="Check Box 234">
          <controlPr defaultSize="0" autoFill="0" autoLine="0" autoPict="0">
            <anchor moveWithCells="1">
              <from>
                <xdr:col>10</xdr:col>
                <xdr:colOff>228600</xdr:colOff>
                <xdr:row>420</xdr:row>
                <xdr:rowOff>133350</xdr:rowOff>
              </from>
              <to>
                <xdr:col>12</xdr:col>
                <xdr:colOff>352425</xdr:colOff>
                <xdr:row>422</xdr:row>
                <xdr:rowOff>114300</xdr:rowOff>
              </to>
            </anchor>
          </controlPr>
        </control>
      </mc:Choice>
    </mc:AlternateContent>
    <mc:AlternateContent xmlns:mc="http://schemas.openxmlformats.org/markup-compatibility/2006">
      <mc:Choice Requires="x14">
        <control shapeId="1261" r:id="rId163" name="Check Box 237">
          <controlPr defaultSize="0" autoFill="0" autoLine="0" autoPict="0" altText="Confirmed whether or not ATAS applies">
            <anchor moveWithCells="1">
              <from>
                <xdr:col>10</xdr:col>
                <xdr:colOff>152400</xdr:colOff>
                <xdr:row>232</xdr:row>
                <xdr:rowOff>104775</xdr:rowOff>
              </from>
              <to>
                <xdr:col>11</xdr:col>
                <xdr:colOff>466725</xdr:colOff>
                <xdr:row>234</xdr:row>
                <xdr:rowOff>190500</xdr:rowOff>
              </to>
            </anchor>
          </controlPr>
        </control>
      </mc:Choice>
    </mc:AlternateContent>
    <mc:AlternateContent xmlns:mc="http://schemas.openxmlformats.org/markup-compatibility/2006">
      <mc:Choice Requires="x14">
        <control shapeId="1268" r:id="rId164" name="Check Box 244">
          <controlPr defaultSize="0" autoFill="0" autoLine="0" autoPict="0">
            <anchor moveWithCells="1">
              <from>
                <xdr:col>10</xdr:col>
                <xdr:colOff>161925</xdr:colOff>
                <xdr:row>236</xdr:row>
                <xdr:rowOff>0</xdr:rowOff>
              </from>
              <to>
                <xdr:col>12</xdr:col>
                <xdr:colOff>257175</xdr:colOff>
                <xdr:row>237</xdr:row>
                <xdr:rowOff>0</xdr:rowOff>
              </to>
            </anchor>
          </controlPr>
        </control>
      </mc:Choice>
    </mc:AlternateContent>
    <mc:AlternateContent xmlns:mc="http://schemas.openxmlformats.org/markup-compatibility/2006">
      <mc:Choice Requires="x14">
        <control shapeId="1269" r:id="rId165" name="Check Box 245">
          <controlPr defaultSize="0" autoFill="0" autoLine="0" autoPict="0">
            <anchor moveWithCells="1">
              <from>
                <xdr:col>0</xdr:col>
                <xdr:colOff>228600</xdr:colOff>
                <xdr:row>510</xdr:row>
                <xdr:rowOff>47625</xdr:rowOff>
              </from>
              <to>
                <xdr:col>0</xdr:col>
                <xdr:colOff>533400</xdr:colOff>
                <xdr:row>511</xdr:row>
                <xdr:rowOff>28575</xdr:rowOff>
              </to>
            </anchor>
          </controlPr>
        </control>
      </mc:Choice>
    </mc:AlternateContent>
    <mc:AlternateContent xmlns:mc="http://schemas.openxmlformats.org/markup-compatibility/2006">
      <mc:Choice Requires="x14">
        <control shapeId="1270" r:id="rId166" name="Check Box 246">
          <controlPr defaultSize="0" autoFill="0" autoLine="0" autoPict="0">
            <anchor moveWithCells="1">
              <from>
                <xdr:col>10</xdr:col>
                <xdr:colOff>152400</xdr:colOff>
                <xdr:row>510</xdr:row>
                <xdr:rowOff>57150</xdr:rowOff>
              </from>
              <to>
                <xdr:col>11</xdr:col>
                <xdr:colOff>533400</xdr:colOff>
                <xdr:row>511</xdr:row>
                <xdr:rowOff>38100</xdr:rowOff>
              </to>
            </anchor>
          </controlPr>
        </control>
      </mc:Choice>
    </mc:AlternateContent>
    <mc:AlternateContent xmlns:mc="http://schemas.openxmlformats.org/markup-compatibility/2006">
      <mc:Choice Requires="x14">
        <control shapeId="1275" r:id="rId167" name="Check Box 251">
          <controlPr defaultSize="0" autoFill="0" autoLine="0" autoPict="0">
            <anchor moveWithCells="1">
              <from>
                <xdr:col>10</xdr:col>
                <xdr:colOff>133350</xdr:colOff>
                <xdr:row>193</xdr:row>
                <xdr:rowOff>47625</xdr:rowOff>
              </from>
              <to>
                <xdr:col>12</xdr:col>
                <xdr:colOff>314325</xdr:colOff>
                <xdr:row>193</xdr:row>
                <xdr:rowOff>266700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expression" priority="58" id="{B852532A-3472-457F-8E6A-67799574D01E}">
            <xm:f>CHECKING!$B$164=FALSE</xm:f>
            <x14:dxf>
              <font>
                <color theme="0" tint="-0.499984740745262"/>
              </font>
              <fill>
                <patternFill>
                  <bgColor theme="0" tint="-0.14996795556505021"/>
                </patternFill>
              </fill>
            </x14:dxf>
          </x14:cfRule>
          <xm:sqref>A514:J521</xm:sqref>
        </x14:conditionalFormatting>
        <x14:conditionalFormatting xmlns:xm="http://schemas.microsoft.com/office/excel/2006/main">
          <x14:cfRule type="expression" priority="30" id="{30503349-158E-49EC-92D9-2B364F0EC3E4}">
            <xm:f>AND(CHECKING!$B$164&lt;&gt;TRUE,CHECKING!$B$166&lt;&gt;TRUE)</xm:f>
            <x14:dxf>
              <font>
                <color theme="0" tint="-0.499984740745262"/>
              </font>
              <fill>
                <patternFill>
                  <bgColor theme="0" tint="-0.14996795556505021"/>
                </patternFill>
              </fill>
            </x14:dxf>
          </x14:cfRule>
          <xm:sqref>A398:J420</xm:sqref>
        </x14:conditionalFormatting>
        <x14:conditionalFormatting xmlns:xm="http://schemas.microsoft.com/office/excel/2006/main">
          <x14:cfRule type="expression" priority="28" id="{C66DAF63-6839-43AD-BC58-5E13E2501B26}">
            <xm:f>CHECKING!$B$6=FALSE</xm:f>
            <x14:dxf>
              <font>
                <color theme="0" tint="-0.499984740745262"/>
              </font>
              <fill>
                <patternFill>
                  <bgColor theme="0" tint="-0.14996795556505021"/>
                </patternFill>
              </fill>
            </x14:dxf>
          </x14:cfRule>
          <xm:sqref>A383:J385</xm:sqref>
        </x14:conditionalFormatting>
        <x14:conditionalFormatting xmlns:xm="http://schemas.microsoft.com/office/excel/2006/main">
          <x14:cfRule type="expression" priority="27" id="{69621ED3-22D4-41EE-8F62-F849C3C27966}">
            <xm:f>CHECKING!$B$5=FALSE</xm:f>
            <x14:dxf>
              <font>
                <color theme="0" tint="-0.499984740745262"/>
              </font>
              <fill>
                <patternFill>
                  <bgColor theme="0" tint="-0.14996795556505021"/>
                </patternFill>
              </fill>
            </x14:dxf>
          </x14:cfRule>
          <xm:sqref>A386:J388</xm:sqref>
        </x14:conditionalFormatting>
        <x14:conditionalFormatting xmlns:xm="http://schemas.microsoft.com/office/excel/2006/main">
          <x14:cfRule type="expression" priority="26" id="{2FACEC69-70F5-43CE-BE0E-7F2C4712CDA5}">
            <xm:f>CHECKING!$B$164&lt;&gt;TRUE</xm:f>
            <x14:dxf>
              <font>
                <color theme="0" tint="-0.499984740745262"/>
              </font>
              <fill>
                <patternFill>
                  <bgColor theme="0" tint="-0.14996795556505021"/>
                </patternFill>
              </fill>
            </x14:dxf>
          </x14:cfRule>
          <xm:sqref>A391:J397</xm:sqref>
        </x14:conditionalFormatting>
        <x14:conditionalFormatting xmlns:xm="http://schemas.microsoft.com/office/excel/2006/main">
          <x14:cfRule type="expression" priority="17" id="{F2975ACE-5FDE-4C70-B8DC-0B6AC49D7DE3}">
            <xm:f>CHECKING!$B$5=TRUE</xm:f>
            <x14:dxf>
              <fill>
                <patternFill>
                  <bgColor theme="0" tint="-0.14996795556505021"/>
                </patternFill>
              </fill>
            </x14:dxf>
          </x14:cfRule>
          <xm:sqref>A102:J103</xm:sqref>
        </x14:conditionalFormatting>
        <x14:conditionalFormatting xmlns:xm="http://schemas.microsoft.com/office/excel/2006/main">
          <x14:cfRule type="expression" priority="348" id="{7F67DE5A-023F-410A-AFBF-C9A8B78C78DE}">
            <xm:f>AND($I$82=10,OR(CHECKING!$D$45=CHECKING!$D$29,CHECKING!$D$45=CHECKING!$D$33,CHECKING!$D$45=CHECKING!$D$34))</xm:f>
            <x14:dxf>
              <font>
                <color theme="0" tint="-0.499984740745262"/>
              </font>
              <fill>
                <patternFill>
                  <bgColor theme="0" tint="-0.14996795556505021"/>
                </patternFill>
              </fill>
            </x14:dxf>
          </x14:cfRule>
          <xm:sqref>A470:J474</xm:sqref>
        </x14:conditionalFormatting>
        <x14:conditionalFormatting xmlns:xm="http://schemas.microsoft.com/office/excel/2006/main">
          <x14:cfRule type="expression" priority="2" id="{56527236-B5DE-4F79-86D5-234EB0E816F9}">
            <xm:f>CHECKING!$B$5=FALSE</xm:f>
            <x14:dxf>
              <font>
                <color theme="0" tint="-0.34998626667073579"/>
              </font>
              <fill>
                <patternFill>
                  <bgColor theme="0" tint="-0.14996795556505021"/>
                </patternFill>
              </fill>
            </x14:dxf>
          </x14:cfRule>
          <xm:sqref>A262:J262 A261 A263:I263</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errorTitle="Please select Yes/No" error="Please select Yes/No" xr:uid="{00000000-0002-0000-0200-00000C000000}">
          <x14:formula1>
            <xm:f>Dropdowns!$Z$3:$Z$5</xm:f>
          </x14:formula1>
          <xm:sqref>I398 J406:J408</xm:sqref>
        </x14:dataValidation>
        <x14:dataValidation type="list" allowBlank="1" showInputMessage="1" showErrorMessage="1" xr:uid="{00000000-0002-0000-0200-00000D000000}">
          <x14:formula1>
            <xm:f>Dropdowns!$Z$3:$Z$5</xm:f>
          </x14:formula1>
          <xm:sqref>J376 J217:J218 J198 J194:J195 J289</xm:sqref>
        </x14:dataValidation>
        <x14:dataValidation type="list" allowBlank="1" showInputMessage="1" xr:uid="{00000000-0002-0000-0200-00000E000000}">
          <x14:formula1>
            <xm:f>Dropdowns!$V$3:$V$12</xm:f>
          </x14:formula1>
          <xm:sqref>I153:J153</xm:sqref>
        </x14:dataValidation>
        <x14:dataValidation type="list" allowBlank="1" showInputMessage="1" showErrorMessage="1" xr:uid="{00000000-0002-0000-0200-00000F000000}">
          <x14:formula1>
            <xm:f>Dropdowns!$X$3:$X$5</xm:f>
          </x14:formula1>
          <xm:sqref>G167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K110"/>
  <sheetViews>
    <sheetView view="pageLayout" zoomScale="90" zoomScaleNormal="100" zoomScalePageLayoutView="90" workbookViewId="0">
      <selection sqref="A1:J1"/>
    </sheetView>
  </sheetViews>
  <sheetFormatPr defaultColWidth="0" defaultRowHeight="15" zeroHeight="1" x14ac:dyDescent="0.25"/>
  <cols>
    <col min="1" max="10" width="9.140625" customWidth="1"/>
    <col min="11" max="11" width="4.7109375" style="56" customWidth="1"/>
    <col min="12" max="16384" width="9.140625" hidden="1"/>
  </cols>
  <sheetData>
    <row r="1" spans="1:10" ht="15.75" x14ac:dyDescent="0.25">
      <c r="A1" s="765" t="s">
        <v>957</v>
      </c>
      <c r="B1" s="765"/>
      <c r="C1" s="765"/>
      <c r="D1" s="765"/>
      <c r="E1" s="765"/>
      <c r="F1" s="765"/>
      <c r="G1" s="765"/>
      <c r="H1" s="765"/>
      <c r="I1" s="765"/>
      <c r="J1" s="765"/>
    </row>
    <row r="2" spans="1:10" x14ac:dyDescent="0.25">
      <c r="A2" s="926" t="s">
        <v>963</v>
      </c>
      <c r="B2" s="926"/>
      <c r="C2" s="926"/>
      <c r="D2" s="926"/>
      <c r="E2" s="926"/>
      <c r="F2" s="926"/>
      <c r="G2" s="926"/>
      <c r="H2" s="926"/>
      <c r="I2" s="926"/>
      <c r="J2" s="926"/>
    </row>
    <row r="3" spans="1:10" x14ac:dyDescent="0.25">
      <c r="A3" s="926"/>
      <c r="B3" s="926"/>
      <c r="C3" s="926"/>
      <c r="D3" s="926"/>
      <c r="E3" s="926"/>
      <c r="F3" s="926"/>
      <c r="G3" s="926"/>
      <c r="H3" s="926"/>
      <c r="I3" s="926"/>
      <c r="J3" s="926"/>
    </row>
    <row r="4" spans="1:10" x14ac:dyDescent="0.25">
      <c r="A4" s="926"/>
      <c r="B4" s="926"/>
      <c r="C4" s="926"/>
      <c r="D4" s="926"/>
      <c r="E4" s="926"/>
      <c r="F4" s="926"/>
      <c r="G4" s="926"/>
      <c r="H4" s="926"/>
      <c r="I4" s="926"/>
      <c r="J4" s="926"/>
    </row>
    <row r="5" spans="1:10" x14ac:dyDescent="0.25">
      <c r="A5" s="926"/>
      <c r="B5" s="926"/>
      <c r="C5" s="926"/>
      <c r="D5" s="926"/>
      <c r="E5" s="926"/>
      <c r="F5" s="926"/>
      <c r="G5" s="926"/>
      <c r="H5" s="926"/>
      <c r="I5" s="926"/>
      <c r="J5" s="926"/>
    </row>
    <row r="6" spans="1:10" x14ac:dyDescent="0.25">
      <c r="A6" s="473" t="s">
        <v>997</v>
      </c>
      <c r="B6" s="473"/>
      <c r="C6" s="473"/>
      <c r="D6" s="473"/>
      <c r="E6" s="473"/>
      <c r="F6" s="473"/>
      <c r="G6" s="473"/>
      <c r="H6" s="473"/>
      <c r="I6" s="473"/>
      <c r="J6" s="473"/>
    </row>
    <row r="7" spans="1:10" ht="15.75" thickBot="1" x14ac:dyDescent="0.3">
      <c r="A7" s="322"/>
      <c r="B7" s="322"/>
      <c r="C7" s="322"/>
      <c r="D7" s="322"/>
      <c r="E7" s="322"/>
      <c r="F7" s="322"/>
      <c r="G7" s="322"/>
      <c r="H7" s="322"/>
      <c r="I7" s="322"/>
      <c r="J7" s="322"/>
    </row>
    <row r="8" spans="1:10" ht="15.75" thickBot="1" x14ac:dyDescent="0.3">
      <c r="A8" s="323" t="s">
        <v>377</v>
      </c>
      <c r="B8" s="323"/>
      <c r="C8" s="323"/>
      <c r="D8" s="322"/>
      <c r="E8" s="924" t="str">
        <f>IF(CHECKING!$D$25 = "- select -","",CHECKING!$D$25)</f>
        <v/>
      </c>
      <c r="F8" s="925"/>
      <c r="G8" s="322"/>
      <c r="H8" s="322"/>
      <c r="I8" s="322"/>
      <c r="J8" s="322"/>
    </row>
    <row r="9" spans="1:10" ht="15.75" thickBot="1" x14ac:dyDescent="0.3">
      <c r="A9" s="323" t="s">
        <v>728</v>
      </c>
      <c r="B9" s="323"/>
      <c r="C9" s="323"/>
      <c r="D9" s="322"/>
      <c r="E9" s="919" t="str">
        <f>CHECKING!$D$26</f>
        <v/>
      </c>
      <c r="F9" s="920"/>
      <c r="G9" s="920"/>
      <c r="H9" s="920"/>
      <c r="I9" s="920"/>
      <c r="J9" s="921"/>
    </row>
    <row r="10" spans="1:10" ht="15.75" thickBot="1" x14ac:dyDescent="0.3">
      <c r="A10" s="323" t="s">
        <v>737</v>
      </c>
      <c r="B10" s="323"/>
      <c r="C10" s="323"/>
      <c r="D10" s="322"/>
      <c r="E10" s="919" t="str">
        <f>CHECKING!$D$27</f>
        <v/>
      </c>
      <c r="F10" s="920"/>
      <c r="G10" s="920"/>
      <c r="H10" s="920"/>
      <c r="I10" s="920"/>
      <c r="J10" s="921"/>
    </row>
    <row r="11" spans="1:10" ht="15.75" thickBot="1" x14ac:dyDescent="0.3">
      <c r="A11" s="323" t="s">
        <v>738</v>
      </c>
      <c r="B11" s="323"/>
      <c r="C11" s="323"/>
      <c r="D11" s="322"/>
      <c r="E11" s="919" t="str">
        <f>CHECKING!$D$28</f>
        <v/>
      </c>
      <c r="F11" s="920"/>
      <c r="G11" s="920"/>
      <c r="H11" s="920"/>
      <c r="I11" s="920"/>
      <c r="J11" s="921"/>
    </row>
    <row r="12" spans="1:10" ht="15.75" thickBot="1" x14ac:dyDescent="0.3">
      <c r="A12" s="323" t="s">
        <v>731</v>
      </c>
      <c r="B12" s="323"/>
      <c r="C12" s="323"/>
      <c r="D12" s="322"/>
      <c r="E12" s="919" t="str">
        <f>IF(CHECKING!$D$29 = "- select -","",CHECKING!$D$29)</f>
        <v/>
      </c>
      <c r="F12" s="920"/>
      <c r="G12" s="920"/>
      <c r="H12" s="920"/>
      <c r="I12" s="920"/>
      <c r="J12" s="921"/>
    </row>
    <row r="13" spans="1:10" ht="15.75" thickBot="1" x14ac:dyDescent="0.3">
      <c r="A13" s="323" t="s">
        <v>958</v>
      </c>
      <c r="B13" s="323"/>
      <c r="C13" s="323"/>
      <c r="D13" s="322"/>
      <c r="E13" s="922" t="str">
        <f>CHECKING!$D$35</f>
        <v/>
      </c>
      <c r="F13" s="923"/>
      <c r="G13" s="322"/>
      <c r="H13" s="323" t="s">
        <v>378</v>
      </c>
      <c r="I13" s="324" t="str">
        <f>IF(CHECKING!$D$36 = "- select -","",CHECKING!$D$36)</f>
        <v/>
      </c>
      <c r="J13" s="322"/>
    </row>
    <row r="14" spans="1:10" ht="15.75" thickBot="1" x14ac:dyDescent="0.3">
      <c r="A14" s="322"/>
      <c r="B14" s="322"/>
      <c r="C14" s="322"/>
      <c r="D14" s="322"/>
      <c r="E14" s="322"/>
      <c r="F14" s="322"/>
      <c r="G14" s="322"/>
      <c r="H14" s="322"/>
      <c r="I14" s="322"/>
      <c r="J14" s="322"/>
    </row>
    <row r="15" spans="1:10" ht="15.75" thickBot="1" x14ac:dyDescent="0.3">
      <c r="A15" s="323" t="s">
        <v>796</v>
      </c>
      <c r="B15" s="930" t="str">
        <f>CHECKING!$D$133</f>
        <v/>
      </c>
      <c r="C15" s="931"/>
      <c r="D15" s="931"/>
      <c r="E15" s="931"/>
      <c r="F15" s="931"/>
      <c r="G15" s="931"/>
      <c r="H15" s="931"/>
      <c r="I15" s="931"/>
      <c r="J15" s="932"/>
    </row>
    <row r="16" spans="1:10" x14ac:dyDescent="0.25">
      <c r="A16" s="322"/>
      <c r="B16" s="322"/>
      <c r="C16" s="322"/>
      <c r="D16" s="322"/>
      <c r="E16" s="322"/>
      <c r="F16" s="322"/>
      <c r="G16" s="322"/>
      <c r="H16" s="322"/>
      <c r="I16" s="322"/>
      <c r="J16" s="322"/>
    </row>
    <row r="17" spans="1:11" x14ac:dyDescent="0.25">
      <c r="A17" s="473" t="s">
        <v>959</v>
      </c>
      <c r="B17" s="473"/>
      <c r="C17" s="473"/>
      <c r="D17" s="473"/>
      <c r="E17" s="473"/>
      <c r="F17" s="473"/>
      <c r="G17" s="473"/>
      <c r="H17" s="473"/>
      <c r="I17" s="473"/>
      <c r="J17" s="473"/>
    </row>
    <row r="18" spans="1:11" x14ac:dyDescent="0.25">
      <c r="A18" s="56"/>
      <c r="B18" s="56"/>
      <c r="C18" s="56"/>
      <c r="D18" s="56"/>
      <c r="E18" s="56"/>
      <c r="F18" s="56"/>
      <c r="G18" s="56"/>
      <c r="H18" s="56"/>
      <c r="I18" s="56"/>
      <c r="J18" s="56"/>
    </row>
    <row r="19" spans="1:11" ht="15" customHeight="1" x14ac:dyDescent="0.25">
      <c r="A19" s="56"/>
      <c r="B19" s="56"/>
      <c r="C19" s="310" t="b">
        <v>0</v>
      </c>
      <c r="D19" s="306" t="str">
        <f>IF($C$19=TRUE,10,"")</f>
        <v/>
      </c>
      <c r="E19" s="545" t="s">
        <v>960</v>
      </c>
      <c r="F19" s="545"/>
      <c r="G19" s="545"/>
      <c r="H19" s="545"/>
      <c r="I19" s="545"/>
      <c r="J19" s="545"/>
    </row>
    <row r="20" spans="1:11" x14ac:dyDescent="0.25">
      <c r="A20" s="56"/>
      <c r="B20" s="56"/>
      <c r="C20" s="56"/>
      <c r="D20" s="56"/>
      <c r="E20" s="56"/>
      <c r="F20" s="56"/>
      <c r="G20" s="56"/>
      <c r="H20" s="56"/>
      <c r="I20" s="56"/>
      <c r="J20" s="56"/>
    </row>
    <row r="21" spans="1:11" ht="15" customHeight="1" x14ac:dyDescent="0.25">
      <c r="A21" s="56"/>
      <c r="B21" s="56"/>
      <c r="C21" s="310" t="b">
        <v>0</v>
      </c>
      <c r="D21" s="306" t="str">
        <f>IF($C$21=TRUE,10,"")</f>
        <v/>
      </c>
      <c r="E21" s="545" t="s">
        <v>961</v>
      </c>
      <c r="F21" s="545"/>
      <c r="G21" s="545"/>
      <c r="H21" s="545"/>
      <c r="I21" s="545"/>
      <c r="J21" s="545"/>
    </row>
    <row r="22" spans="1:11" ht="16.5" customHeight="1" x14ac:dyDescent="0.25">
      <c r="A22" s="56"/>
      <c r="B22" s="56"/>
      <c r="C22" s="56"/>
      <c r="D22" s="56"/>
      <c r="E22" s="56"/>
      <c r="F22" s="56"/>
      <c r="G22" s="56"/>
      <c r="H22" s="56"/>
      <c r="I22" s="56"/>
      <c r="J22" s="56"/>
    </row>
    <row r="23" spans="1:11" x14ac:dyDescent="0.25">
      <c r="A23" s="305" t="s">
        <v>962</v>
      </c>
      <c r="B23" s="270"/>
      <c r="C23" s="270"/>
      <c r="D23" s="270"/>
      <c r="E23" s="270"/>
      <c r="F23" s="270"/>
      <c r="G23" s="270"/>
      <c r="H23" s="270"/>
      <c r="I23" s="270"/>
      <c r="J23" s="270"/>
    </row>
    <row r="24" spans="1:11" ht="27.75" customHeight="1" thickBot="1" x14ac:dyDescent="0.3">
      <c r="A24" s="882" t="s">
        <v>990</v>
      </c>
      <c r="B24" s="882"/>
      <c r="C24" s="882"/>
      <c r="D24" s="882"/>
      <c r="E24" s="882"/>
      <c r="F24" s="882"/>
      <c r="G24" s="882"/>
      <c r="H24" s="882"/>
      <c r="I24" s="882"/>
      <c r="J24" s="882"/>
    </row>
    <row r="25" spans="1:11" s="267" customFormat="1" ht="15" customHeight="1" thickBot="1" x14ac:dyDescent="0.3">
      <c r="A25" s="56"/>
      <c r="B25" s="187" t="s">
        <v>971</v>
      </c>
      <c r="C25" s="309"/>
      <c r="D25" s="309"/>
      <c r="E25" s="309"/>
      <c r="F25" s="314"/>
      <c r="G25" s="309"/>
      <c r="H25" s="309"/>
      <c r="I25" s="309"/>
      <c r="J25" s="309"/>
      <c r="K25" s="56"/>
    </row>
    <row r="26" spans="1:11" s="267" customFormat="1" ht="15" customHeight="1" thickBot="1" x14ac:dyDescent="0.3">
      <c r="A26" s="56"/>
      <c r="B26" s="187" t="s">
        <v>972</v>
      </c>
      <c r="C26" s="309"/>
      <c r="D26" s="309"/>
      <c r="E26" s="309"/>
      <c r="F26" s="314"/>
      <c r="G26" s="309"/>
      <c r="H26" s="309"/>
      <c r="I26" s="309"/>
      <c r="J26" s="309"/>
      <c r="K26" s="56"/>
    </row>
    <row r="27" spans="1:11" s="267" customFormat="1" ht="25.35" customHeight="1" x14ac:dyDescent="0.25">
      <c r="A27" s="882" t="s">
        <v>973</v>
      </c>
      <c r="B27" s="882"/>
      <c r="C27" s="882"/>
      <c r="D27" s="882"/>
      <c r="E27" s="882"/>
      <c r="F27" s="882"/>
      <c r="G27" s="882"/>
      <c r="H27" s="882"/>
      <c r="I27" s="882"/>
      <c r="J27" s="882"/>
      <c r="K27" s="56"/>
    </row>
    <row r="28" spans="1:11" s="267" customFormat="1" ht="15" customHeight="1" x14ac:dyDescent="0.25">
      <c r="A28" s="657" t="s">
        <v>1081</v>
      </c>
      <c r="B28" s="657"/>
      <c r="C28" s="657"/>
      <c r="D28" s="657"/>
      <c r="E28" s="657"/>
      <c r="F28" s="657"/>
      <c r="G28" s="657"/>
      <c r="H28" s="657"/>
      <c r="I28" s="657"/>
      <c r="J28" s="657"/>
      <c r="K28" s="56"/>
    </row>
    <row r="29" spans="1:11" s="267" customFormat="1" ht="15" customHeight="1" x14ac:dyDescent="0.25">
      <c r="A29" s="933"/>
      <c r="B29" s="933"/>
      <c r="C29" s="933"/>
      <c r="D29" s="933"/>
      <c r="E29" s="933"/>
      <c r="F29" s="933"/>
      <c r="G29" s="933"/>
      <c r="H29" s="933"/>
      <c r="I29" s="933"/>
      <c r="J29" s="933"/>
      <c r="K29" s="56"/>
    </row>
    <row r="30" spans="1:11" s="267" customFormat="1" ht="28.35" customHeight="1" x14ac:dyDescent="0.25">
      <c r="A30" s="885"/>
      <c r="B30" s="886"/>
      <c r="C30" s="886"/>
      <c r="D30" s="886"/>
      <c r="E30" s="886"/>
      <c r="F30" s="886"/>
      <c r="G30" s="886"/>
      <c r="H30" s="886"/>
      <c r="I30" s="886"/>
      <c r="J30" s="887"/>
      <c r="K30" s="56"/>
    </row>
    <row r="31" spans="1:11" s="267" customFormat="1" ht="28.35" customHeight="1" x14ac:dyDescent="0.25">
      <c r="A31" s="888"/>
      <c r="B31" s="889"/>
      <c r="C31" s="889"/>
      <c r="D31" s="889"/>
      <c r="E31" s="889"/>
      <c r="F31" s="889"/>
      <c r="G31" s="889"/>
      <c r="H31" s="889"/>
      <c r="I31" s="889"/>
      <c r="J31" s="890"/>
      <c r="K31" s="56"/>
    </row>
    <row r="32" spans="1:11" s="401" customFormat="1" ht="28.35" customHeight="1" x14ac:dyDescent="0.25">
      <c r="A32" s="888"/>
      <c r="B32" s="889"/>
      <c r="C32" s="889"/>
      <c r="D32" s="889"/>
      <c r="E32" s="889"/>
      <c r="F32" s="889"/>
      <c r="G32" s="889"/>
      <c r="H32" s="889"/>
      <c r="I32" s="889"/>
      <c r="J32" s="890"/>
      <c r="K32" s="402"/>
    </row>
    <row r="33" spans="1:11" s="401" customFormat="1" ht="28.35" customHeight="1" x14ac:dyDescent="0.25">
      <c r="A33" s="888"/>
      <c r="B33" s="889"/>
      <c r="C33" s="889"/>
      <c r="D33" s="889"/>
      <c r="E33" s="889"/>
      <c r="F33" s="889"/>
      <c r="G33" s="889"/>
      <c r="H33" s="889"/>
      <c r="I33" s="889"/>
      <c r="J33" s="890"/>
      <c r="K33" s="402"/>
    </row>
    <row r="34" spans="1:11" s="401" customFormat="1" ht="28.35" customHeight="1" x14ac:dyDescent="0.25">
      <c r="A34" s="888"/>
      <c r="B34" s="889"/>
      <c r="C34" s="889"/>
      <c r="D34" s="889"/>
      <c r="E34" s="889"/>
      <c r="F34" s="889"/>
      <c r="G34" s="889"/>
      <c r="H34" s="889"/>
      <c r="I34" s="889"/>
      <c r="J34" s="890"/>
      <c r="K34" s="463"/>
    </row>
    <row r="35" spans="1:11" s="401" customFormat="1" ht="28.35" customHeight="1" x14ac:dyDescent="0.25">
      <c r="A35" s="888"/>
      <c r="B35" s="889"/>
      <c r="C35" s="889"/>
      <c r="D35" s="889"/>
      <c r="E35" s="889"/>
      <c r="F35" s="889"/>
      <c r="G35" s="889"/>
      <c r="H35" s="889"/>
      <c r="I35" s="889"/>
      <c r="J35" s="890"/>
      <c r="K35" s="463"/>
    </row>
    <row r="36" spans="1:11" s="401" customFormat="1" ht="28.35" customHeight="1" x14ac:dyDescent="0.25">
      <c r="A36" s="888"/>
      <c r="B36" s="889"/>
      <c r="C36" s="889"/>
      <c r="D36" s="889"/>
      <c r="E36" s="889"/>
      <c r="F36" s="889"/>
      <c r="G36" s="889"/>
      <c r="H36" s="889"/>
      <c r="I36" s="889"/>
      <c r="J36" s="890"/>
      <c r="K36" s="463"/>
    </row>
    <row r="37" spans="1:11" s="401" customFormat="1" ht="28.35" customHeight="1" x14ac:dyDescent="0.25">
      <c r="A37" s="888"/>
      <c r="B37" s="889"/>
      <c r="C37" s="889"/>
      <c r="D37" s="889"/>
      <c r="E37" s="889"/>
      <c r="F37" s="889"/>
      <c r="G37" s="889"/>
      <c r="H37" s="889"/>
      <c r="I37" s="889"/>
      <c r="J37" s="890"/>
      <c r="K37" s="463"/>
    </row>
    <row r="38" spans="1:11" s="267" customFormat="1" ht="28.35" customHeight="1" x14ac:dyDescent="0.25">
      <c r="A38" s="888"/>
      <c r="B38" s="889"/>
      <c r="C38" s="889"/>
      <c r="D38" s="889"/>
      <c r="E38" s="889"/>
      <c r="F38" s="889"/>
      <c r="G38" s="889"/>
      <c r="H38" s="889"/>
      <c r="I38" s="889"/>
      <c r="J38" s="890"/>
      <c r="K38" s="56"/>
    </row>
    <row r="39" spans="1:11" s="267" customFormat="1" ht="28.35" customHeight="1" x14ac:dyDescent="0.25">
      <c r="A39" s="891"/>
      <c r="B39" s="892"/>
      <c r="C39" s="892"/>
      <c r="D39" s="892"/>
      <c r="E39" s="892"/>
      <c r="F39" s="892"/>
      <c r="G39" s="892"/>
      <c r="H39" s="892"/>
      <c r="I39" s="892"/>
      <c r="J39" s="893"/>
      <c r="K39" s="56"/>
    </row>
    <row r="40" spans="1:11" s="267" customFormat="1" ht="27.75" customHeight="1" thickBot="1" x14ac:dyDescent="0.3">
      <c r="A40" s="929" t="s">
        <v>974</v>
      </c>
      <c r="B40" s="929"/>
      <c r="C40" s="929"/>
      <c r="D40" s="929"/>
      <c r="E40" s="929"/>
      <c r="F40" s="309"/>
      <c r="G40" s="309"/>
      <c r="H40" s="927" t="str">
        <f>IF(AND($I$41&lt;&gt;"",LEN($I$41)&lt;&gt;6),"WRONG REF ? 'Vacancy ID' take the format '123456'","")</f>
        <v/>
      </c>
      <c r="I40" s="927"/>
      <c r="J40" s="927"/>
      <c r="K40" s="56"/>
    </row>
    <row r="41" spans="1:11" ht="15.75" customHeight="1" thickBot="1" x14ac:dyDescent="0.3">
      <c r="A41" s="883" t="s">
        <v>969</v>
      </c>
      <c r="B41" s="883"/>
      <c r="C41" s="883"/>
      <c r="D41" s="883"/>
      <c r="E41" s="883"/>
      <c r="F41" s="883"/>
      <c r="G41" s="883"/>
      <c r="H41" s="884"/>
      <c r="I41" s="504"/>
      <c r="J41" s="506"/>
    </row>
    <row r="42" spans="1:11" x14ac:dyDescent="0.25">
      <c r="A42" s="527" t="s">
        <v>995</v>
      </c>
      <c r="B42" s="527"/>
      <c r="C42" s="527"/>
      <c r="D42" s="527"/>
      <c r="E42" s="527"/>
      <c r="F42" s="527"/>
      <c r="G42" s="928" t="s">
        <v>994</v>
      </c>
      <c r="H42" s="928"/>
      <c r="I42" s="928"/>
      <c r="J42" s="928"/>
    </row>
    <row r="43" spans="1:11" x14ac:dyDescent="0.25">
      <c r="A43" s="317"/>
      <c r="B43" s="309"/>
      <c r="C43" s="309"/>
      <c r="D43" s="309"/>
      <c r="E43" s="309"/>
      <c r="F43" s="309"/>
      <c r="G43" s="309"/>
      <c r="H43" s="309"/>
      <c r="I43" s="309"/>
      <c r="J43" s="309"/>
    </row>
    <row r="44" spans="1:11" x14ac:dyDescent="0.25">
      <c r="A44" s="918" t="s">
        <v>970</v>
      </c>
      <c r="B44" s="918"/>
      <c r="C44" s="918"/>
      <c r="D44" s="918"/>
      <c r="E44" s="918"/>
      <c r="F44" s="918"/>
      <c r="G44" s="918"/>
      <c r="H44" s="918"/>
      <c r="I44" s="918"/>
      <c r="J44" s="309"/>
    </row>
    <row r="45" spans="1:11" x14ac:dyDescent="0.25">
      <c r="A45" s="873"/>
      <c r="B45" s="874"/>
      <c r="C45" s="874"/>
      <c r="D45" s="874"/>
      <c r="E45" s="874"/>
      <c r="F45" s="874"/>
      <c r="G45" s="874"/>
      <c r="H45" s="874"/>
      <c r="I45" s="874"/>
      <c r="J45" s="875"/>
    </row>
    <row r="46" spans="1:11" x14ac:dyDescent="0.25">
      <c r="A46" s="876"/>
      <c r="B46" s="877"/>
      <c r="C46" s="877"/>
      <c r="D46" s="877"/>
      <c r="E46" s="877"/>
      <c r="F46" s="877"/>
      <c r="G46" s="877"/>
      <c r="H46" s="877"/>
      <c r="I46" s="877"/>
      <c r="J46" s="878"/>
    </row>
    <row r="47" spans="1:11" x14ac:dyDescent="0.25">
      <c r="A47" s="876"/>
      <c r="B47" s="877"/>
      <c r="C47" s="877"/>
      <c r="D47" s="877"/>
      <c r="E47" s="877"/>
      <c r="F47" s="877"/>
      <c r="G47" s="877"/>
      <c r="H47" s="877"/>
      <c r="I47" s="877"/>
      <c r="J47" s="878"/>
    </row>
    <row r="48" spans="1:11" x14ac:dyDescent="0.25">
      <c r="A48" s="876"/>
      <c r="B48" s="877"/>
      <c r="C48" s="877"/>
      <c r="D48" s="877"/>
      <c r="E48" s="877"/>
      <c r="F48" s="877"/>
      <c r="G48" s="877"/>
      <c r="H48" s="877"/>
      <c r="I48" s="877"/>
      <c r="J48" s="878"/>
    </row>
    <row r="49" spans="1:10" x14ac:dyDescent="0.25">
      <c r="A49" s="876"/>
      <c r="B49" s="877"/>
      <c r="C49" s="877"/>
      <c r="D49" s="877"/>
      <c r="E49" s="877"/>
      <c r="F49" s="877"/>
      <c r="G49" s="877"/>
      <c r="H49" s="877"/>
      <c r="I49" s="877"/>
      <c r="J49" s="878"/>
    </row>
    <row r="50" spans="1:10" x14ac:dyDescent="0.25">
      <c r="A50" s="876"/>
      <c r="B50" s="877"/>
      <c r="C50" s="877"/>
      <c r="D50" s="877"/>
      <c r="E50" s="877"/>
      <c r="F50" s="877"/>
      <c r="G50" s="877"/>
      <c r="H50" s="877"/>
      <c r="I50" s="877"/>
      <c r="J50" s="878"/>
    </row>
    <row r="51" spans="1:10" x14ac:dyDescent="0.25">
      <c r="A51" s="876"/>
      <c r="B51" s="877"/>
      <c r="C51" s="877"/>
      <c r="D51" s="877"/>
      <c r="E51" s="877"/>
      <c r="F51" s="877"/>
      <c r="G51" s="877"/>
      <c r="H51" s="877"/>
      <c r="I51" s="877"/>
      <c r="J51" s="878"/>
    </row>
    <row r="52" spans="1:10" x14ac:dyDescent="0.25">
      <c r="A52" s="876"/>
      <c r="B52" s="877"/>
      <c r="C52" s="877"/>
      <c r="D52" s="877"/>
      <c r="E52" s="877"/>
      <c r="F52" s="877"/>
      <c r="G52" s="877"/>
      <c r="H52" s="877"/>
      <c r="I52" s="877"/>
      <c r="J52" s="878"/>
    </row>
    <row r="53" spans="1:10" x14ac:dyDescent="0.25">
      <c r="A53" s="876"/>
      <c r="B53" s="877"/>
      <c r="C53" s="877"/>
      <c r="D53" s="877"/>
      <c r="E53" s="877"/>
      <c r="F53" s="877"/>
      <c r="G53" s="877"/>
      <c r="H53" s="877"/>
      <c r="I53" s="877"/>
      <c r="J53" s="878"/>
    </row>
    <row r="54" spans="1:10" x14ac:dyDescent="0.25">
      <c r="A54" s="876"/>
      <c r="B54" s="877"/>
      <c r="C54" s="877"/>
      <c r="D54" s="877"/>
      <c r="E54" s="877"/>
      <c r="F54" s="877"/>
      <c r="G54" s="877"/>
      <c r="H54" s="877"/>
      <c r="I54" s="877"/>
      <c r="J54" s="878"/>
    </row>
    <row r="55" spans="1:10" x14ac:dyDescent="0.25">
      <c r="A55" s="876"/>
      <c r="B55" s="877"/>
      <c r="C55" s="877"/>
      <c r="D55" s="877"/>
      <c r="E55" s="877"/>
      <c r="F55" s="877"/>
      <c r="G55" s="877"/>
      <c r="H55" s="877"/>
      <c r="I55" s="877"/>
      <c r="J55" s="878"/>
    </row>
    <row r="56" spans="1:10" x14ac:dyDescent="0.25">
      <c r="A56" s="876"/>
      <c r="B56" s="877"/>
      <c r="C56" s="877"/>
      <c r="D56" s="877"/>
      <c r="E56" s="877"/>
      <c r="F56" s="877"/>
      <c r="G56" s="877"/>
      <c r="H56" s="877"/>
      <c r="I56" s="877"/>
      <c r="J56" s="878"/>
    </row>
    <row r="57" spans="1:10" x14ac:dyDescent="0.25">
      <c r="A57" s="876"/>
      <c r="B57" s="877"/>
      <c r="C57" s="877"/>
      <c r="D57" s="877"/>
      <c r="E57" s="877"/>
      <c r="F57" s="877"/>
      <c r="G57" s="877"/>
      <c r="H57" s="877"/>
      <c r="I57" s="877"/>
      <c r="J57" s="878"/>
    </row>
    <row r="58" spans="1:10" x14ac:dyDescent="0.25">
      <c r="A58" s="876"/>
      <c r="B58" s="877"/>
      <c r="C58" s="877"/>
      <c r="D58" s="877"/>
      <c r="E58" s="877"/>
      <c r="F58" s="877"/>
      <c r="G58" s="877"/>
      <c r="H58" s="877"/>
      <c r="I58" s="877"/>
      <c r="J58" s="878"/>
    </row>
    <row r="59" spans="1:10" x14ac:dyDescent="0.25">
      <c r="A59" s="876"/>
      <c r="B59" s="877"/>
      <c r="C59" s="877"/>
      <c r="D59" s="877"/>
      <c r="E59" s="877"/>
      <c r="F59" s="877"/>
      <c r="G59" s="877"/>
      <c r="H59" s="877"/>
      <c r="I59" s="877"/>
      <c r="J59" s="878"/>
    </row>
    <row r="60" spans="1:10" x14ac:dyDescent="0.25">
      <c r="A60" s="876"/>
      <c r="B60" s="877"/>
      <c r="C60" s="877"/>
      <c r="D60" s="877"/>
      <c r="E60" s="877"/>
      <c r="F60" s="877"/>
      <c r="G60" s="877"/>
      <c r="H60" s="877"/>
      <c r="I60" s="877"/>
      <c r="J60" s="878"/>
    </row>
    <row r="61" spans="1:10" x14ac:dyDescent="0.25">
      <c r="A61" s="876"/>
      <c r="B61" s="877"/>
      <c r="C61" s="877"/>
      <c r="D61" s="877"/>
      <c r="E61" s="877"/>
      <c r="F61" s="877"/>
      <c r="G61" s="877"/>
      <c r="H61" s="877"/>
      <c r="I61" s="877"/>
      <c r="J61" s="878"/>
    </row>
    <row r="62" spans="1:10" x14ac:dyDescent="0.25">
      <c r="A62" s="876"/>
      <c r="B62" s="877"/>
      <c r="C62" s="877"/>
      <c r="D62" s="877"/>
      <c r="E62" s="877"/>
      <c r="F62" s="877"/>
      <c r="G62" s="877"/>
      <c r="H62" s="877"/>
      <c r="I62" s="877"/>
      <c r="J62" s="878"/>
    </row>
    <row r="63" spans="1:10" x14ac:dyDescent="0.25">
      <c r="A63" s="876"/>
      <c r="B63" s="877"/>
      <c r="C63" s="877"/>
      <c r="D63" s="877"/>
      <c r="E63" s="877"/>
      <c r="F63" s="877"/>
      <c r="G63" s="877"/>
      <c r="H63" s="877"/>
      <c r="I63" s="877"/>
      <c r="J63" s="878"/>
    </row>
    <row r="64" spans="1:10" x14ac:dyDescent="0.25">
      <c r="A64" s="876"/>
      <c r="B64" s="877"/>
      <c r="C64" s="877"/>
      <c r="D64" s="877"/>
      <c r="E64" s="877"/>
      <c r="F64" s="877"/>
      <c r="G64" s="877"/>
      <c r="H64" s="877"/>
      <c r="I64" s="877"/>
      <c r="J64" s="878"/>
    </row>
    <row r="65" spans="1:11" x14ac:dyDescent="0.25">
      <c r="A65" s="876"/>
      <c r="B65" s="877"/>
      <c r="C65" s="877"/>
      <c r="D65" s="877"/>
      <c r="E65" s="877"/>
      <c r="F65" s="877"/>
      <c r="G65" s="877"/>
      <c r="H65" s="877"/>
      <c r="I65" s="877"/>
      <c r="J65" s="878"/>
    </row>
    <row r="66" spans="1:11" x14ac:dyDescent="0.25">
      <c r="A66" s="876"/>
      <c r="B66" s="877"/>
      <c r="C66" s="877"/>
      <c r="D66" s="877"/>
      <c r="E66" s="877"/>
      <c r="F66" s="877"/>
      <c r="G66" s="877"/>
      <c r="H66" s="877"/>
      <c r="I66" s="877"/>
      <c r="J66" s="878"/>
    </row>
    <row r="67" spans="1:11" x14ac:dyDescent="0.25">
      <c r="A67" s="879"/>
      <c r="B67" s="880"/>
      <c r="C67" s="880"/>
      <c r="D67" s="880"/>
      <c r="E67" s="880"/>
      <c r="F67" s="880"/>
      <c r="G67" s="880"/>
      <c r="H67" s="880"/>
      <c r="I67" s="880"/>
      <c r="J67" s="881"/>
    </row>
    <row r="68" spans="1:11" ht="15.75" x14ac:dyDescent="0.25">
      <c r="A68" s="894" t="s">
        <v>965</v>
      </c>
      <c r="B68" s="894"/>
      <c r="C68" s="894"/>
      <c r="D68" s="894"/>
      <c r="E68" s="894"/>
      <c r="F68" s="894"/>
      <c r="G68" s="894"/>
      <c r="H68" s="894"/>
      <c r="I68" s="894"/>
      <c r="J68" s="894"/>
    </row>
    <row r="69" spans="1:11" s="267" customFormat="1" ht="15.75" x14ac:dyDescent="0.25">
      <c r="A69" s="316"/>
      <c r="B69" s="316"/>
      <c r="C69" s="316"/>
      <c r="D69" s="316"/>
      <c r="E69" s="316"/>
      <c r="F69" s="316"/>
      <c r="G69" s="316"/>
      <c r="H69" s="316"/>
      <c r="I69" s="316"/>
      <c r="J69" s="316"/>
      <c r="K69" s="56"/>
    </row>
    <row r="70" spans="1:11" x14ac:dyDescent="0.25">
      <c r="A70" s="473" t="s">
        <v>964</v>
      </c>
      <c r="B70" s="473"/>
      <c r="C70" s="473"/>
      <c r="D70" s="473"/>
      <c r="E70" s="473"/>
      <c r="F70" s="473"/>
      <c r="G70" s="473"/>
      <c r="H70" s="473"/>
      <c r="I70" s="473"/>
      <c r="J70" s="473"/>
    </row>
    <row r="71" spans="1:11" s="208" customFormat="1" ht="21.95" customHeight="1" x14ac:dyDescent="0.25">
      <c r="A71" s="882" t="s">
        <v>984</v>
      </c>
      <c r="B71" s="882"/>
      <c r="C71" s="882"/>
      <c r="D71" s="882"/>
      <c r="E71" s="882"/>
      <c r="F71" s="882"/>
      <c r="G71" s="882"/>
      <c r="H71" s="882"/>
      <c r="I71" s="882"/>
      <c r="J71" s="882"/>
      <c r="K71" s="328"/>
    </row>
    <row r="72" spans="1:11" x14ac:dyDescent="0.25">
      <c r="A72" s="900" t="s">
        <v>379</v>
      </c>
      <c r="B72" s="901"/>
      <c r="C72" s="901"/>
      <c r="D72" s="901"/>
      <c r="E72" s="901"/>
      <c r="F72" s="901"/>
      <c r="G72" s="901"/>
      <c r="H72" s="901"/>
      <c r="I72" s="902"/>
      <c r="J72" s="44"/>
    </row>
    <row r="73" spans="1:11" x14ac:dyDescent="0.25">
      <c r="A73" s="903"/>
      <c r="B73" s="904"/>
      <c r="C73" s="904"/>
      <c r="D73" s="904"/>
      <c r="E73" s="904"/>
      <c r="F73" s="904"/>
      <c r="G73" s="904"/>
      <c r="H73" s="904"/>
      <c r="I73" s="905"/>
      <c r="J73" s="309"/>
    </row>
    <row r="74" spans="1:11" x14ac:dyDescent="0.25">
      <c r="A74" s="918" t="s">
        <v>1001</v>
      </c>
      <c r="B74" s="918"/>
      <c r="C74" s="918"/>
      <c r="D74" s="918"/>
      <c r="E74" s="918"/>
      <c r="F74" s="918"/>
      <c r="G74" s="918"/>
      <c r="H74" s="918"/>
      <c r="I74" s="918"/>
      <c r="J74" s="918"/>
    </row>
    <row r="75" spans="1:11" ht="21.2" customHeight="1" x14ac:dyDescent="0.25">
      <c r="A75" s="885"/>
      <c r="B75" s="886"/>
      <c r="C75" s="886"/>
      <c r="D75" s="886"/>
      <c r="E75" s="886"/>
      <c r="F75" s="886"/>
      <c r="G75" s="886"/>
      <c r="H75" s="886"/>
      <c r="I75" s="886"/>
      <c r="J75" s="887"/>
    </row>
    <row r="76" spans="1:11" ht="21.2" customHeight="1" x14ac:dyDescent="0.25">
      <c r="A76" s="888"/>
      <c r="B76" s="889"/>
      <c r="C76" s="889"/>
      <c r="D76" s="889"/>
      <c r="E76" s="889"/>
      <c r="F76" s="889"/>
      <c r="G76" s="889"/>
      <c r="H76" s="889"/>
      <c r="I76" s="889"/>
      <c r="J76" s="890"/>
    </row>
    <row r="77" spans="1:11" ht="21.2" customHeight="1" x14ac:dyDescent="0.25">
      <c r="A77" s="888"/>
      <c r="B77" s="889"/>
      <c r="C77" s="889"/>
      <c r="D77" s="889"/>
      <c r="E77" s="889"/>
      <c r="F77" s="889"/>
      <c r="G77" s="889"/>
      <c r="H77" s="889"/>
      <c r="I77" s="889"/>
      <c r="J77" s="890"/>
    </row>
    <row r="78" spans="1:11" ht="21.2" customHeight="1" x14ac:dyDescent="0.25">
      <c r="A78" s="888"/>
      <c r="B78" s="889"/>
      <c r="C78" s="889"/>
      <c r="D78" s="889"/>
      <c r="E78" s="889"/>
      <c r="F78" s="889"/>
      <c r="G78" s="889"/>
      <c r="H78" s="889"/>
      <c r="I78" s="889"/>
      <c r="J78" s="890"/>
    </row>
    <row r="79" spans="1:11" ht="21.2" customHeight="1" x14ac:dyDescent="0.25">
      <c r="A79" s="888"/>
      <c r="B79" s="889"/>
      <c r="C79" s="889"/>
      <c r="D79" s="889"/>
      <c r="E79" s="889"/>
      <c r="F79" s="889"/>
      <c r="G79" s="889"/>
      <c r="H79" s="889"/>
      <c r="I79" s="889"/>
      <c r="J79" s="890"/>
    </row>
    <row r="80" spans="1:11" ht="21.2" customHeight="1" x14ac:dyDescent="0.25">
      <c r="A80" s="891"/>
      <c r="B80" s="892"/>
      <c r="C80" s="892"/>
      <c r="D80" s="892"/>
      <c r="E80" s="892"/>
      <c r="F80" s="892"/>
      <c r="G80" s="892"/>
      <c r="H80" s="892"/>
      <c r="I80" s="892"/>
      <c r="J80" s="893"/>
    </row>
    <row r="81" spans="1:11" s="208" customFormat="1" ht="21.95" customHeight="1" x14ac:dyDescent="0.25">
      <c r="A81" s="187" t="s">
        <v>982</v>
      </c>
      <c r="B81" s="187"/>
      <c r="C81" s="187"/>
      <c r="D81" s="187"/>
      <c r="E81" s="187"/>
      <c r="F81" s="187"/>
      <c r="G81" s="187"/>
      <c r="H81" s="187"/>
      <c r="I81" s="187"/>
      <c r="J81" s="187"/>
      <c r="K81" s="328"/>
    </row>
    <row r="82" spans="1:11" x14ac:dyDescent="0.25">
      <c r="A82" s="56"/>
      <c r="B82" s="153"/>
      <c r="C82" s="153"/>
      <c r="D82" s="153"/>
      <c r="E82" s="906" t="s">
        <v>983</v>
      </c>
      <c r="F82" s="906"/>
      <c r="G82" s="906"/>
      <c r="H82" s="906"/>
      <c r="I82" s="906"/>
      <c r="J82" s="906"/>
    </row>
    <row r="83" spans="1:11" x14ac:dyDescent="0.25">
      <c r="A83" s="153"/>
      <c r="B83" s="153"/>
      <c r="C83" s="153"/>
      <c r="D83" s="153"/>
      <c r="E83" s="153"/>
      <c r="F83" s="153"/>
      <c r="G83" s="153"/>
      <c r="H83" s="153"/>
      <c r="I83" s="153"/>
      <c r="J83" s="153"/>
    </row>
    <row r="84" spans="1:11" x14ac:dyDescent="0.25">
      <c r="A84" s="899" t="s">
        <v>996</v>
      </c>
      <c r="B84" s="899"/>
      <c r="C84" s="899"/>
      <c r="D84" s="899"/>
      <c r="E84" s="899"/>
      <c r="F84" s="899"/>
      <c r="G84" s="899"/>
      <c r="H84" s="899"/>
      <c r="I84" s="899"/>
      <c r="J84" s="899"/>
    </row>
    <row r="85" spans="1:11" ht="28.35" customHeight="1" x14ac:dyDescent="0.25">
      <c r="A85" s="907"/>
      <c r="B85" s="908"/>
      <c r="C85" s="908"/>
      <c r="D85" s="908"/>
      <c r="E85" s="908"/>
      <c r="F85" s="908"/>
      <c r="G85" s="908"/>
      <c r="H85" s="908"/>
      <c r="I85" s="908"/>
      <c r="J85" s="909"/>
    </row>
    <row r="86" spans="1:11" ht="28.35" customHeight="1" x14ac:dyDescent="0.25">
      <c r="A86" s="910"/>
      <c r="B86" s="911"/>
      <c r="C86" s="911"/>
      <c r="D86" s="911"/>
      <c r="E86" s="911"/>
      <c r="F86" s="911"/>
      <c r="G86" s="911"/>
      <c r="H86" s="911"/>
      <c r="I86" s="911"/>
      <c r="J86" s="912"/>
    </row>
    <row r="87" spans="1:11" ht="28.35" customHeight="1" x14ac:dyDescent="0.25">
      <c r="A87" s="910"/>
      <c r="B87" s="911"/>
      <c r="C87" s="911"/>
      <c r="D87" s="911"/>
      <c r="E87" s="911"/>
      <c r="F87" s="911"/>
      <c r="G87" s="911"/>
      <c r="H87" s="911"/>
      <c r="I87" s="911"/>
      <c r="J87" s="912"/>
    </row>
    <row r="88" spans="1:11" ht="28.35" customHeight="1" x14ac:dyDescent="0.25">
      <c r="A88" s="913"/>
      <c r="B88" s="914"/>
      <c r="C88" s="914"/>
      <c r="D88" s="914"/>
      <c r="E88" s="914"/>
      <c r="F88" s="914"/>
      <c r="G88" s="914"/>
      <c r="H88" s="914"/>
      <c r="I88" s="914"/>
      <c r="J88" s="915"/>
    </row>
    <row r="89" spans="1:11" x14ac:dyDescent="0.25">
      <c r="A89" s="309"/>
      <c r="B89" s="309"/>
      <c r="C89" s="309"/>
      <c r="D89" s="309"/>
      <c r="E89" s="309"/>
      <c r="F89" s="309"/>
      <c r="G89" s="309"/>
      <c r="H89" s="309"/>
      <c r="I89" s="309"/>
      <c r="J89" s="309"/>
    </row>
    <row r="90" spans="1:11" ht="15.75" x14ac:dyDescent="0.25">
      <c r="A90" s="895" t="s">
        <v>965</v>
      </c>
      <c r="B90" s="895"/>
      <c r="C90" s="895"/>
      <c r="D90" s="895"/>
      <c r="E90" s="895"/>
      <c r="F90" s="895"/>
      <c r="G90" s="895"/>
      <c r="H90" s="895"/>
      <c r="I90" s="895"/>
      <c r="J90" s="895"/>
    </row>
    <row r="91" spans="1:11" s="267" customFormat="1" ht="15.75" x14ac:dyDescent="0.25">
      <c r="A91" s="316"/>
      <c r="B91" s="316"/>
      <c r="C91" s="316"/>
      <c r="D91" s="316"/>
      <c r="E91" s="316"/>
      <c r="F91" s="316"/>
      <c r="G91" s="316"/>
      <c r="H91" s="316"/>
      <c r="I91" s="316"/>
      <c r="J91" s="316"/>
      <c r="K91" s="56"/>
    </row>
    <row r="92" spans="1:11" x14ac:dyDescent="0.25">
      <c r="A92" s="916" t="s">
        <v>998</v>
      </c>
      <c r="B92" s="916"/>
      <c r="C92" s="916"/>
      <c r="D92" s="916"/>
      <c r="E92" s="916"/>
      <c r="F92" s="916"/>
      <c r="G92" s="916"/>
      <c r="H92" s="916"/>
      <c r="I92" s="916"/>
      <c r="J92" s="916"/>
    </row>
    <row r="93" spans="1:11" x14ac:dyDescent="0.25">
      <c r="A93" s="917"/>
      <c r="B93" s="917"/>
      <c r="C93" s="917"/>
      <c r="D93" s="917"/>
      <c r="E93" s="917"/>
      <c r="F93" s="917"/>
      <c r="G93" s="917"/>
      <c r="H93" s="917"/>
      <c r="I93" s="917"/>
      <c r="J93" s="917"/>
    </row>
    <row r="94" spans="1:11" ht="15.75" thickBot="1" x14ac:dyDescent="0.3">
      <c r="A94" s="318"/>
      <c r="B94" s="318"/>
      <c r="C94" s="318"/>
      <c r="D94" s="318"/>
      <c r="E94" s="318"/>
      <c r="F94" s="318"/>
      <c r="G94" s="318"/>
      <c r="H94" s="318"/>
      <c r="I94" s="318"/>
      <c r="J94" s="318"/>
    </row>
    <row r="95" spans="1:11" ht="15.75" thickBot="1" x14ac:dyDescent="0.3">
      <c r="A95" s="319"/>
      <c r="B95" s="320"/>
      <c r="C95" s="321" t="s">
        <v>865</v>
      </c>
      <c r="D95" s="858" t="str">
        <f>CHECKING!$E$223</f>
        <v/>
      </c>
      <c r="E95" s="859"/>
      <c r="F95" s="859"/>
      <c r="G95" s="859"/>
      <c r="H95" s="859"/>
      <c r="I95" s="860"/>
      <c r="J95" s="319"/>
    </row>
    <row r="96" spans="1:11" ht="15.75" thickBot="1" x14ac:dyDescent="0.3">
      <c r="A96" s="319"/>
      <c r="B96" s="320"/>
      <c r="C96" s="321" t="s">
        <v>866</v>
      </c>
      <c r="D96" s="858" t="str">
        <f>CHECKING!$E$224</f>
        <v/>
      </c>
      <c r="E96" s="859"/>
      <c r="F96" s="859"/>
      <c r="G96" s="859"/>
      <c r="H96" s="859"/>
      <c r="I96" s="860"/>
      <c r="J96" s="319"/>
    </row>
    <row r="97" spans="1:11" ht="15.75" thickBot="1" x14ac:dyDescent="0.3">
      <c r="A97" s="319"/>
      <c r="B97" s="320"/>
      <c r="C97" s="321" t="s">
        <v>988</v>
      </c>
      <c r="D97" s="861" t="str">
        <f>CHECKING!$E$225</f>
        <v/>
      </c>
      <c r="E97" s="862"/>
      <c r="F97" s="862"/>
      <c r="G97" s="862"/>
      <c r="H97" s="862"/>
      <c r="I97" s="863"/>
      <c r="J97" s="319"/>
    </row>
    <row r="98" spans="1:11" ht="15.75" thickBot="1" x14ac:dyDescent="0.3">
      <c r="A98" s="319"/>
      <c r="B98" s="320"/>
      <c r="C98" s="321" t="s">
        <v>868</v>
      </c>
      <c r="D98" s="858" t="str">
        <f>CHECKING!$E$226</f>
        <v/>
      </c>
      <c r="E98" s="859"/>
      <c r="F98" s="859"/>
      <c r="G98" s="859"/>
      <c r="H98" s="859"/>
      <c r="I98" s="860"/>
      <c r="J98" s="319"/>
    </row>
    <row r="99" spans="1:11" ht="15.75" thickBot="1" x14ac:dyDescent="0.3">
      <c r="A99" s="319"/>
      <c r="B99" s="320"/>
      <c r="C99" s="321" t="s">
        <v>869</v>
      </c>
      <c r="D99" s="858" t="str">
        <f>CHECKING!$E$227</f>
        <v/>
      </c>
      <c r="E99" s="859"/>
      <c r="F99" s="859"/>
      <c r="G99" s="859"/>
      <c r="H99" s="859"/>
      <c r="I99" s="860"/>
      <c r="J99" s="319"/>
    </row>
    <row r="100" spans="1:11" ht="15.75" thickBot="1" x14ac:dyDescent="0.3">
      <c r="A100" s="319"/>
      <c r="B100" s="320"/>
      <c r="C100" s="321" t="s">
        <v>870</v>
      </c>
      <c r="D100" s="896" t="str">
        <f>CHECKING!$E$228</f>
        <v/>
      </c>
      <c r="E100" s="897"/>
      <c r="F100" s="897"/>
      <c r="G100" s="897"/>
      <c r="H100" s="897"/>
      <c r="I100" s="898"/>
      <c r="J100" s="319"/>
    </row>
    <row r="101" spans="1:11" x14ac:dyDescent="0.25">
      <c r="A101" s="41"/>
      <c r="B101" s="41"/>
      <c r="C101" s="41"/>
      <c r="D101" s="41"/>
      <c r="E101" s="41"/>
      <c r="F101" s="41"/>
      <c r="G101" s="41"/>
      <c r="H101" s="41"/>
      <c r="I101" s="41"/>
      <c r="J101" s="41"/>
    </row>
    <row r="102" spans="1:11" x14ac:dyDescent="0.25">
      <c r="A102" s="864" t="s">
        <v>985</v>
      </c>
      <c r="B102" s="865"/>
      <c r="C102" s="865"/>
      <c r="D102" s="865"/>
      <c r="E102" s="865"/>
      <c r="F102" s="865"/>
      <c r="G102" s="865"/>
      <c r="H102" s="865"/>
      <c r="I102" s="865"/>
      <c r="J102" s="866"/>
    </row>
    <row r="103" spans="1:11" x14ac:dyDescent="0.25">
      <c r="A103" s="867"/>
      <c r="B103" s="868"/>
      <c r="C103" s="868"/>
      <c r="D103" s="868"/>
      <c r="E103" s="868"/>
      <c r="F103" s="868"/>
      <c r="G103" s="868"/>
      <c r="H103" s="868"/>
      <c r="I103" s="868"/>
      <c r="J103" s="869"/>
    </row>
    <row r="104" spans="1:11" x14ac:dyDescent="0.25">
      <c r="A104" s="870"/>
      <c r="B104" s="871"/>
      <c r="C104" s="871"/>
      <c r="D104" s="871"/>
      <c r="E104" s="871"/>
      <c r="F104" s="871"/>
      <c r="G104" s="871"/>
      <c r="H104" s="871"/>
      <c r="I104" s="871"/>
      <c r="J104" s="872"/>
    </row>
    <row r="105" spans="1:11" x14ac:dyDescent="0.25">
      <c r="A105" s="56"/>
      <c r="B105" s="56"/>
      <c r="C105" s="56"/>
      <c r="D105" s="56"/>
      <c r="E105" s="56"/>
      <c r="F105" s="56"/>
      <c r="G105" s="56"/>
      <c r="H105" s="56"/>
      <c r="I105" s="56"/>
      <c r="J105" s="56"/>
    </row>
    <row r="106" spans="1:11" x14ac:dyDescent="0.25">
      <c r="A106" s="527" t="s">
        <v>987</v>
      </c>
      <c r="B106" s="527"/>
      <c r="C106" s="527"/>
      <c r="D106" s="527"/>
      <c r="E106" s="527"/>
      <c r="F106" s="527"/>
      <c r="G106" s="527"/>
      <c r="H106" s="527"/>
      <c r="I106" s="527"/>
      <c r="J106" s="56"/>
    </row>
    <row r="107" spans="1:11" s="267" customFormat="1" x14ac:dyDescent="0.25">
      <c r="A107" s="44"/>
      <c r="B107" s="45"/>
      <c r="C107" s="45"/>
      <c r="D107" s="45"/>
      <c r="E107" s="45"/>
      <c r="F107" s="45"/>
      <c r="G107" s="45"/>
      <c r="H107" s="45"/>
      <c r="I107" s="45"/>
      <c r="J107" s="56"/>
      <c r="K107" s="56"/>
    </row>
    <row r="108" spans="1:11" ht="15.75" x14ac:dyDescent="0.25">
      <c r="A108" s="48" t="s">
        <v>698</v>
      </c>
      <c r="B108" s="45"/>
      <c r="C108" s="45"/>
      <c r="D108" s="45"/>
      <c r="E108" s="45"/>
      <c r="F108" s="56"/>
      <c r="G108" s="56"/>
      <c r="H108" s="56"/>
      <c r="I108" s="56"/>
      <c r="J108" s="56"/>
    </row>
    <row r="109" spans="1:11" x14ac:dyDescent="0.25">
      <c r="A109" s="778" t="s">
        <v>898</v>
      </c>
      <c r="B109" s="778"/>
      <c r="C109" s="778"/>
      <c r="D109" s="778"/>
      <c r="E109" s="778"/>
      <c r="F109" s="56"/>
      <c r="G109" s="56"/>
      <c r="H109" s="56"/>
      <c r="I109" s="56"/>
      <c r="J109" s="56"/>
    </row>
    <row r="110" spans="1:11" s="56" customFormat="1" x14ac:dyDescent="0.25"/>
  </sheetData>
  <sheetProtection algorithmName="SHA-512" hashValue="x8JHWwPRCEo5FYq2pIhtpp0blmT7s2/UIB9BNHlukOonGzKALIIPeit7hg0cWlXEtlreoPm9G3ueluUf/q0WuQ==" saltValue="/9H+GdCLJi2DiX6W404ugw==" spinCount="100000" sheet="1" objects="1" scenarios="1"/>
  <mergeCells count="45">
    <mergeCell ref="E13:F13"/>
    <mergeCell ref="E8:F8"/>
    <mergeCell ref="A2:J5"/>
    <mergeCell ref="A44:I44"/>
    <mergeCell ref="H40:J40"/>
    <mergeCell ref="A42:F42"/>
    <mergeCell ref="G42:J42"/>
    <mergeCell ref="A6:J6"/>
    <mergeCell ref="A17:J17"/>
    <mergeCell ref="A24:J24"/>
    <mergeCell ref="A27:J27"/>
    <mergeCell ref="A40:E40"/>
    <mergeCell ref="B15:J15"/>
    <mergeCell ref="E21:J21"/>
    <mergeCell ref="E19:J19"/>
    <mergeCell ref="A28:J29"/>
    <mergeCell ref="A1:J1"/>
    <mergeCell ref="E9:J9"/>
    <mergeCell ref="E10:J10"/>
    <mergeCell ref="E11:J11"/>
    <mergeCell ref="E12:J12"/>
    <mergeCell ref="D95:I95"/>
    <mergeCell ref="A68:J68"/>
    <mergeCell ref="A90:J90"/>
    <mergeCell ref="D100:I100"/>
    <mergeCell ref="A70:J70"/>
    <mergeCell ref="A84:J84"/>
    <mergeCell ref="A72:I73"/>
    <mergeCell ref="A75:J80"/>
    <mergeCell ref="E82:J82"/>
    <mergeCell ref="A85:J88"/>
    <mergeCell ref="A92:J93"/>
    <mergeCell ref="A74:J74"/>
    <mergeCell ref="A45:J67"/>
    <mergeCell ref="A71:J71"/>
    <mergeCell ref="I41:J41"/>
    <mergeCell ref="A41:H41"/>
    <mergeCell ref="A30:J39"/>
    <mergeCell ref="A109:E109"/>
    <mergeCell ref="D96:I96"/>
    <mergeCell ref="D97:I97"/>
    <mergeCell ref="D98:I98"/>
    <mergeCell ref="D99:I99"/>
    <mergeCell ref="A106:I106"/>
    <mergeCell ref="A102:J104"/>
  </mergeCells>
  <conditionalFormatting sqref="D19">
    <cfRule type="iconSet" priority="7">
      <iconSet iconSet="3Symbols2" showValue="0">
        <cfvo type="percent" val="0"/>
        <cfvo type="num" val="0"/>
        <cfvo type="num" val="10"/>
      </iconSet>
    </cfRule>
  </conditionalFormatting>
  <conditionalFormatting sqref="D21">
    <cfRule type="iconSet" priority="6">
      <iconSet iconSet="3Symbols2" showValue="0">
        <cfvo type="percent" val="0"/>
        <cfvo type="num" val="0"/>
        <cfvo type="num" val="10"/>
      </iconSet>
    </cfRule>
  </conditionalFormatting>
  <conditionalFormatting sqref="E19:J19">
    <cfRule type="expression" dxfId="45" priority="5">
      <formula>$C19&lt;&gt;TRUE</formula>
    </cfRule>
  </conditionalFormatting>
  <conditionalFormatting sqref="E21:J21">
    <cfRule type="expression" dxfId="44" priority="4">
      <formula>$C$21&lt;&gt;TRUE</formula>
    </cfRule>
  </conditionalFormatting>
  <conditionalFormatting sqref="A23:J23 A25:J26 A24 A28:J39 A27 A41:J69 A40 F40:H40">
    <cfRule type="expression" dxfId="43" priority="3">
      <formula>$C$19&lt;&gt;TRUE</formula>
    </cfRule>
  </conditionalFormatting>
  <conditionalFormatting sqref="A71:J73 A70 A85:J91 A84 A75:J83 A74">
    <cfRule type="expression" dxfId="42" priority="2">
      <formula>$C$21&lt;&gt;TRUE</formula>
    </cfRule>
  </conditionalFormatting>
  <dataValidations disablePrompts="1" count="1">
    <dataValidation type="custom" allowBlank="1" showInputMessage="1" showErrorMessage="1" errorTitle="Incorrect format" error="'Vacancy ID' are six digit numbers" sqref="I41:J41" xr:uid="{00000000-0002-0000-0300-000000000000}">
      <formula1>ISNUMBER(I41)=TRUE</formula1>
    </dataValidation>
  </dataValidations>
  <hyperlinks>
    <hyperlink ref="E19:J19" location="'SW initial -recruitment details'!F25" display="please complete section 1 and then return to the main form" xr:uid="{00000000-0004-0000-0300-000000000000}"/>
    <hyperlink ref="E21:J21" location="'SW initial -recruitment details'!A65" display="please complete section 2 and then return to the main form" xr:uid="{00000000-0004-0000-0300-000001000000}"/>
    <hyperlink ref="A68:J68" location="'SW initial CoS form'!A338" display="Please now return to complete the rest of the main application form" xr:uid="{00000000-0004-0000-0300-000002000000}"/>
    <hyperlink ref="A90:J90" location="'SW initial CoS form'!A338" display="Please now return to complete the rest of the main application form" xr:uid="{00000000-0004-0000-0300-000003000000}"/>
    <hyperlink ref="E82:J82" r:id="rId1" display="https://hr.admin.ox.ac.uk/recruitment-without-advertising" xr:uid="{00000000-0004-0000-0300-000004000000}"/>
    <hyperlink ref="A109" r:id="rId2" xr:uid="{00000000-0004-0000-0300-000005000000}"/>
    <hyperlink ref="G42:J42" location="'SW initial -recruitment details'!A62" display="link back at the end of this secion below." xr:uid="{00000000-0004-0000-0300-000006000000}"/>
  </hyperlinks>
  <pageMargins left="0.51181102362204722" right="0.23622047244094491" top="0.23622047244094491" bottom="0.62992125984251968" header="0.31496062992125984" footer="0.31496062992125984"/>
  <pageSetup paperSize="9" scale="83" orientation="portrait" r:id="rId3"/>
  <headerFooter>
    <oddFooter>&amp;LUpdated April 2025&amp;RPage &amp;P of &amp;N</oddFooter>
  </headerFooter>
  <rowBreaks count="1" manualBreakCount="1">
    <brk id="52" max="9" man="1"/>
  </rowBreaks>
  <drawing r:id="rId4"/>
  <legacyDrawing r:id="rId5"/>
  <controls>
    <mc:AlternateContent xmlns:mc="http://schemas.openxmlformats.org/markup-compatibility/2006">
      <mc:Choice Requires="x14">
        <control shapeId="5122" r:id="rId6" name="Advertised">
          <controlPr defaultSize="0" autoLine="0" autoPict="0" linkedCell="$C$19" r:id="rId7">
            <anchor moveWithCells="1">
              <from>
                <xdr:col>0</xdr:col>
                <xdr:colOff>219075</xdr:colOff>
                <xdr:row>17</xdr:row>
                <xdr:rowOff>133350</xdr:rowOff>
              </from>
              <to>
                <xdr:col>2</xdr:col>
                <xdr:colOff>619125</xdr:colOff>
                <xdr:row>19</xdr:row>
                <xdr:rowOff>76200</xdr:rowOff>
              </to>
            </anchor>
          </controlPr>
        </control>
      </mc:Choice>
      <mc:Fallback>
        <control shapeId="5122" r:id="rId6" name="Advertised"/>
      </mc:Fallback>
    </mc:AlternateContent>
    <mc:AlternateContent xmlns:mc="http://schemas.openxmlformats.org/markup-compatibility/2006">
      <mc:Choice Requires="x14">
        <control shapeId="5123" r:id="rId8" name="DirectAppointment">
          <controlPr defaultSize="0" autoLine="0" linkedCell="$C$21" r:id="rId9">
            <anchor moveWithCells="1">
              <from>
                <xdr:col>0</xdr:col>
                <xdr:colOff>219075</xdr:colOff>
                <xdr:row>19</xdr:row>
                <xdr:rowOff>114300</xdr:rowOff>
              </from>
              <to>
                <xdr:col>2</xdr:col>
                <xdr:colOff>628650</xdr:colOff>
                <xdr:row>21</xdr:row>
                <xdr:rowOff>76200</xdr:rowOff>
              </to>
            </anchor>
          </controlPr>
        </control>
      </mc:Choice>
      <mc:Fallback>
        <control shapeId="5123" r:id="rId8" name="DirectAppointment"/>
      </mc:Fallback>
    </mc:AlternateContent>
    <mc:AlternateContent xmlns:mc="http://schemas.openxmlformats.org/markup-compatibility/2006">
      <mc:Choice Requires="x14">
        <control shapeId="5121" r:id="rId10" name="Group Box 1">
          <controlPr defaultSize="0" autoFill="0" autoPict="0">
            <anchor moveWithCells="1">
              <from>
                <xdr:col>0</xdr:col>
                <xdr:colOff>104775</xdr:colOff>
                <xdr:row>17</xdr:row>
                <xdr:rowOff>47625</xdr:rowOff>
              </from>
              <to>
                <xdr:col>9</xdr:col>
                <xdr:colOff>561975</xdr:colOff>
                <xdr:row>21</xdr:row>
                <xdr:rowOff>142875</xdr:rowOff>
              </to>
            </anchor>
          </controlPr>
        </control>
      </mc:Choice>
    </mc:AlternateContent>
  </control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1000000}">
          <x14:formula1>
            <xm:f>Dropdowns!$Z$18:$Z$24</xm:f>
          </x14:formula1>
          <xm:sqref>A72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S229"/>
  <sheetViews>
    <sheetView zoomScaleNormal="100" workbookViewId="0"/>
  </sheetViews>
  <sheetFormatPr defaultRowHeight="15" x14ac:dyDescent="0.25"/>
  <cols>
    <col min="1" max="1" width="55" customWidth="1"/>
    <col min="2" max="2" width="14.7109375" bestFit="1" customWidth="1"/>
    <col min="4" max="4" width="25.7109375" customWidth="1"/>
    <col min="5" max="5" width="20.28515625" customWidth="1"/>
    <col min="6" max="6" width="18.7109375" customWidth="1"/>
  </cols>
  <sheetData>
    <row r="1" spans="1:14" x14ac:dyDescent="0.25">
      <c r="A1" s="35" t="s">
        <v>906</v>
      </c>
      <c r="B1" s="987" t="s">
        <v>999</v>
      </c>
      <c r="C1" s="725"/>
      <c r="D1" s="988"/>
      <c r="E1" s="266" t="s">
        <v>703</v>
      </c>
      <c r="F1" s="266" t="s">
        <v>704</v>
      </c>
      <c r="G1" s="266" t="s">
        <v>705</v>
      </c>
      <c r="H1" s="266" t="s">
        <v>706</v>
      </c>
      <c r="I1" s="266" t="s">
        <v>707</v>
      </c>
      <c r="J1" s="266" t="s">
        <v>708</v>
      </c>
      <c r="K1" s="266" t="s">
        <v>809</v>
      </c>
      <c r="L1" s="266" t="s">
        <v>814</v>
      </c>
      <c r="M1" s="266" t="s">
        <v>815</v>
      </c>
      <c r="N1" s="267"/>
    </row>
    <row r="2" spans="1:14" ht="15.75" thickBot="1" x14ac:dyDescent="0.3">
      <c r="A2" s="157" t="str">
        <f>'SW initial CoS form'!$J$610</f>
        <v>Version 1.15</v>
      </c>
      <c r="B2" s="158">
        <f>'SW initial CoS form'!$I$611</f>
        <v>46031</v>
      </c>
      <c r="D2" s="57"/>
      <c r="E2" s="346" t="str">
        <f>$E$83</f>
        <v>Please complete the ATAS questions</v>
      </c>
    </row>
    <row r="3" spans="1:14" ht="15.75" thickBot="1" x14ac:dyDescent="0.3">
      <c r="A3" s="962" t="s">
        <v>703</v>
      </c>
      <c r="B3" s="963"/>
      <c r="C3" s="963"/>
      <c r="D3" s="963"/>
      <c r="E3" s="963"/>
      <c r="F3" s="963"/>
      <c r="G3" s="963"/>
      <c r="H3" s="963"/>
      <c r="I3" s="963"/>
      <c r="J3" s="963"/>
      <c r="K3" s="963"/>
      <c r="L3" s="963"/>
      <c r="M3" s="963"/>
      <c r="N3" s="964"/>
    </row>
    <row r="5" spans="1:14" ht="15.75" x14ac:dyDescent="0.25">
      <c r="A5" s="61" t="s">
        <v>764</v>
      </c>
      <c r="B5" s="75" t="b">
        <v>0</v>
      </c>
      <c r="C5" s="59" t="str">
        <f>IF($B$5=TRUE,10,"")</f>
        <v/>
      </c>
      <c r="D5" s="57"/>
    </row>
    <row r="6" spans="1:14" ht="15.75" x14ac:dyDescent="0.25">
      <c r="A6" s="61" t="s">
        <v>765</v>
      </c>
      <c r="B6" s="75" t="b">
        <v>0</v>
      </c>
      <c r="C6" s="59" t="str">
        <f>IF($B$6=TRUE,10,"")</f>
        <v/>
      </c>
      <c r="D6" s="57"/>
    </row>
    <row r="7" spans="1:14" x14ac:dyDescent="0.25">
      <c r="A7" s="38" t="s">
        <v>710</v>
      </c>
      <c r="B7" s="265" t="b">
        <v>0</v>
      </c>
      <c r="C7" s="59">
        <f>IF(AND($D7&lt;&gt;"",$D7&lt;&gt;"- select -",$B7=TRUE),10,0)</f>
        <v>0</v>
      </c>
      <c r="D7" s="57" t="str">
        <f>IF('SW initial CoS form'!$J$90="","",'SW initial CoS form'!$J$90)</f>
        <v>- select -</v>
      </c>
    </row>
    <row r="8" spans="1:14" x14ac:dyDescent="0.25">
      <c r="A8" s="38" t="s">
        <v>709</v>
      </c>
      <c r="B8" s="265" t="b">
        <v>0</v>
      </c>
      <c r="C8" s="59">
        <f>IF($D$7="Yes",IF(AND($D$8&lt;&gt;"",$B$8=TRUE),10,0),IF($B$8=TRUE,10,0))</f>
        <v>0</v>
      </c>
      <c r="D8" s="62" t="str">
        <f>IF('SW initial CoS form'!$I$92="","",'SW initial CoS form'!$I$92)</f>
        <v/>
      </c>
      <c r="E8" s="206" t="str">
        <f>IF('SW initial CoS form'!$B$110="","",'SW initial CoS form'!$B$110)</f>
        <v/>
      </c>
    </row>
    <row r="9" spans="1:14" x14ac:dyDescent="0.25">
      <c r="E9" s="308" t="str">
        <f>CHECKING!$D$26</f>
        <v/>
      </c>
    </row>
    <row r="10" spans="1:14" x14ac:dyDescent="0.25">
      <c r="A10" s="61" t="s">
        <v>1091</v>
      </c>
      <c r="D10" s="404" t="b">
        <v>1</v>
      </c>
    </row>
    <row r="11" spans="1:14" ht="15.75" thickBot="1" x14ac:dyDescent="0.3">
      <c r="A11" s="405" t="s">
        <v>912</v>
      </c>
      <c r="B11" s="406" t="b">
        <v>0</v>
      </c>
      <c r="C11" s="407" t="str">
        <f>IF(AND(B11=TRUE,$D$10=TRUE),10,"")</f>
        <v/>
      </c>
      <c r="D11" s="408"/>
    </row>
    <row r="12" spans="1:14" x14ac:dyDescent="0.25">
      <c r="A12" s="41" t="s">
        <v>722</v>
      </c>
      <c r="B12" s="403" t="b">
        <v>1</v>
      </c>
      <c r="C12" s="69">
        <f>IF(AND(B12=TRUE,$D$10=TRUE),10,"")</f>
        <v>10</v>
      </c>
      <c r="D12" s="409" t="s">
        <v>1088</v>
      </c>
      <c r="F12" s="200" t="s">
        <v>887</v>
      </c>
      <c r="G12" s="1027" t="str">
        <f>IF(AND($B$11=TRUE,$B$6),"Applicant and dependants have been living in the UK for 12 months maintenance not required",IF($B$12=TRUE,"Sponsor certifies maintenance to value of £" &amp; Dropdowns!$V$29 &amp; " for the main applicant, £" &amp; Dropdowns!$V$30 &amp; " for their partner, £" &amp; Dropdowns!$V$31 &amp; " for their first child, and £" &amp; Dropdowns!$V$32 &amp; " for each additional child.",IF($B$13=TRUE,"Sponsor certifies maintenance to value of £" &amp; Dropdowns!$V$29 &amp; " for the main applicant.","")))</f>
        <v>Sponsor certifies maintenance to value of £1270 for the main applicant, £285 for their partner, £315 for their first child, and £200 for each additional child.</v>
      </c>
      <c r="H12" s="1028"/>
      <c r="I12" s="1028"/>
      <c r="J12" s="1028"/>
      <c r="K12" s="1028"/>
      <c r="L12" s="1028"/>
      <c r="M12" s="1029"/>
      <c r="N12" s="135" t="s">
        <v>800</v>
      </c>
    </row>
    <row r="13" spans="1:14" x14ac:dyDescent="0.25">
      <c r="A13" s="269" t="s">
        <v>723</v>
      </c>
      <c r="B13" s="406" t="b">
        <v>0</v>
      </c>
      <c r="C13" s="407" t="str">
        <f>IF(AND(B13=TRUE,$D$10=TRUE),10,"")</f>
        <v/>
      </c>
      <c r="D13" s="269"/>
      <c r="G13" s="1030"/>
      <c r="H13" s="1031"/>
      <c r="I13" s="1031"/>
      <c r="J13" s="1031"/>
      <c r="K13" s="1031"/>
      <c r="L13" s="1031"/>
      <c r="M13" s="1032"/>
      <c r="N13" s="94"/>
    </row>
    <row r="14" spans="1:14" ht="15.75" thickBot="1" x14ac:dyDescent="0.3">
      <c r="A14" s="269" t="s">
        <v>724</v>
      </c>
      <c r="B14" s="406" t="b">
        <v>0</v>
      </c>
      <c r="C14" s="407" t="str">
        <f>IF(AND(B14=TRUE,$D$10=TRUE),10,"")</f>
        <v/>
      </c>
      <c r="D14" s="269"/>
      <c r="G14" s="1033"/>
      <c r="H14" s="1034"/>
      <c r="I14" s="1034"/>
      <c r="J14" s="1034"/>
      <c r="K14" s="1034"/>
      <c r="L14" s="1034"/>
      <c r="M14" s="1035"/>
      <c r="N14" s="94"/>
    </row>
    <row r="15" spans="1:14" ht="15.75" thickBot="1" x14ac:dyDescent="0.3"/>
    <row r="16" spans="1:14" s="267" customFormat="1" ht="15.75" thickBot="1" x14ac:dyDescent="0.3">
      <c r="A16" s="962" t="s">
        <v>704</v>
      </c>
      <c r="B16" s="963"/>
      <c r="C16" s="963"/>
      <c r="D16" s="963"/>
      <c r="E16" s="963"/>
      <c r="F16" s="963"/>
      <c r="G16" s="963"/>
      <c r="H16" s="963"/>
      <c r="I16" s="963"/>
      <c r="J16" s="963"/>
      <c r="K16" s="963"/>
      <c r="L16" s="963"/>
      <c r="M16" s="963"/>
      <c r="N16" s="964"/>
    </row>
    <row r="17" spans="1:5" s="267" customFormat="1" x14ac:dyDescent="0.25"/>
    <row r="18" spans="1:5" x14ac:dyDescent="0.25">
      <c r="A18" s="61" t="s">
        <v>711</v>
      </c>
      <c r="D18" s="75" t="b">
        <v>0</v>
      </c>
    </row>
    <row r="19" spans="1:5" x14ac:dyDescent="0.25">
      <c r="A19" s="41" t="s">
        <v>713</v>
      </c>
      <c r="B19" s="141" t="b">
        <v>0</v>
      </c>
      <c r="C19" s="69">
        <f>IF(AND(B19=TRUE,$D$19="",$D$18=TRUE),10,0)</f>
        <v>0</v>
      </c>
      <c r="D19" s="41" t="str">
        <f>IF('SW initial CoS form'!$A$149="","",'SW initial CoS form'!$A$149)</f>
        <v/>
      </c>
    </row>
    <row r="20" spans="1:5" x14ac:dyDescent="0.25">
      <c r="A20" s="41" t="s">
        <v>715</v>
      </c>
      <c r="B20" s="141" t="b">
        <v>0</v>
      </c>
      <c r="C20" s="69" t="str">
        <f>IF(AND(B20=TRUE,$D$18=TRUE),10,"")</f>
        <v/>
      </c>
      <c r="D20" s="41"/>
    </row>
    <row r="21" spans="1:5" x14ac:dyDescent="0.25">
      <c r="A21" s="41" t="s">
        <v>716</v>
      </c>
      <c r="B21" s="141" t="b">
        <v>0</v>
      </c>
      <c r="C21" s="69" t="str">
        <f>IF(AND(B21=TRUE,$D$18=TRUE),10,"")</f>
        <v/>
      </c>
      <c r="D21" s="41"/>
    </row>
    <row r="22" spans="1:5" x14ac:dyDescent="0.25">
      <c r="A22" s="41" t="s">
        <v>717</v>
      </c>
      <c r="B22" s="141" t="b">
        <v>0</v>
      </c>
      <c r="C22" s="69" t="str">
        <f>IF(AND(B22=TRUE,$D$18=TRUE),10,"")</f>
        <v/>
      </c>
      <c r="D22" s="41"/>
    </row>
    <row r="23" spans="1:5" x14ac:dyDescent="0.25">
      <c r="A23" s="41" t="s">
        <v>718</v>
      </c>
      <c r="B23" s="141" t="b">
        <v>0</v>
      </c>
      <c r="C23" s="69" t="str">
        <f>IF(AND(B23=TRUE,$D$18=TRUE),10,"")</f>
        <v/>
      </c>
      <c r="D23" s="41"/>
    </row>
    <row r="25" spans="1:5" x14ac:dyDescent="0.25">
      <c r="A25" s="74" t="s">
        <v>377</v>
      </c>
      <c r="B25" s="75" t="b">
        <v>0</v>
      </c>
      <c r="C25" s="59">
        <f>IF(AND($D$25&lt;&gt;"",$D$25&lt;&gt;"- select -",$B25=TRUE),10,0)</f>
        <v>0</v>
      </c>
      <c r="D25" s="76" t="str">
        <f>IF('SW initial CoS form'!$I$153="","",'SW initial CoS form'!$I$153)</f>
        <v>- select -</v>
      </c>
    </row>
    <row r="26" spans="1:5" x14ac:dyDescent="0.25">
      <c r="A26" s="74" t="s">
        <v>728</v>
      </c>
      <c r="B26" s="75" t="b">
        <v>0</v>
      </c>
      <c r="C26" s="59">
        <f>IF(AND($D26&lt;&gt;"",$B26=TRUE),10,0)</f>
        <v>0</v>
      </c>
      <c r="D26" s="76" t="str">
        <f>IF('SW initial CoS form'!$E$154="","",PROPER('SW initial CoS form'!$E$154))</f>
        <v/>
      </c>
    </row>
    <row r="27" spans="1:5" x14ac:dyDescent="0.25">
      <c r="A27" s="74" t="s">
        <v>737</v>
      </c>
      <c r="B27" s="75" t="b">
        <v>0</v>
      </c>
      <c r="C27" s="59">
        <f>IF(AND($D27&lt;&gt;"",$B27=TRUE),10,0)</f>
        <v>0</v>
      </c>
      <c r="D27" s="76" t="str">
        <f>IF('SW initial CoS form'!$E$155="","",PROPER('SW initial CoS form'!$E$155))</f>
        <v/>
      </c>
    </row>
    <row r="28" spans="1:5" x14ac:dyDescent="0.25">
      <c r="A28" s="74" t="s">
        <v>738</v>
      </c>
      <c r="B28" s="75" t="b">
        <v>0</v>
      </c>
      <c r="C28" s="59">
        <f>IF($B28=TRUE,10,0)</f>
        <v>0</v>
      </c>
      <c r="D28" s="76" t="str">
        <f>IF('SW initial CoS form'!$E$156="","",PROPER('SW initial CoS form'!$E$156))</f>
        <v/>
      </c>
      <c r="E28" s="78" t="str">
        <f>IF('SW initial CoS form'!$E$157="","",'SW initial CoS form'!$E$157)</f>
        <v/>
      </c>
    </row>
    <row r="29" spans="1:5" x14ac:dyDescent="0.25">
      <c r="A29" s="74" t="s">
        <v>739</v>
      </c>
      <c r="B29" s="75" t="b">
        <v>0</v>
      </c>
      <c r="C29" s="59">
        <f>IF(AND($D29&lt;&gt;"",$D29&lt;&gt;"- select -",$B29=TRUE),10,0)</f>
        <v>0</v>
      </c>
      <c r="D29" s="77" t="s">
        <v>379</v>
      </c>
      <c r="E29" s="79" t="str">
        <f>IF('SW initial CoS form'!$B$161="","",'SW initial CoS form'!$B$161)</f>
        <v/>
      </c>
    </row>
    <row r="30" spans="1:5" x14ac:dyDescent="0.25">
      <c r="A30" s="74" t="s">
        <v>732</v>
      </c>
      <c r="B30" s="75" t="b">
        <v>0</v>
      </c>
      <c r="C30" s="59">
        <f t="shared" ref="C30" si="0">IF(AND($D30&lt;&gt;"",$B30=TRUE),10,0)</f>
        <v>0</v>
      </c>
      <c r="D30" s="76" t="str">
        <f>IF('SW initial CoS form'!$E$159="","",PROPER('SW initial CoS form'!$E$159))</f>
        <v/>
      </c>
    </row>
    <row r="31" spans="1:5" x14ac:dyDescent="0.25">
      <c r="A31" s="74" t="s">
        <v>733</v>
      </c>
      <c r="B31" s="75" t="b">
        <v>0</v>
      </c>
      <c r="C31" s="59">
        <f>IF(AND($D31&lt;&gt;"",$D31&lt;&gt;"- select -",$B31=TRUE),10,0)</f>
        <v>0</v>
      </c>
      <c r="D31" s="77" t="s">
        <v>379</v>
      </c>
    </row>
    <row r="32" spans="1:5" x14ac:dyDescent="0.25">
      <c r="A32" s="74" t="s">
        <v>740</v>
      </c>
      <c r="B32" s="75" t="b">
        <v>0</v>
      </c>
      <c r="C32" s="59">
        <f>IF(AND($D32&lt;&gt;"",$D32&lt;&gt;"- select -",$B32=TRUE),10,0)</f>
        <v>0</v>
      </c>
      <c r="D32" s="80" t="str">
        <f>IF('SW initial CoS form'!$F$162="","",'SW initial CoS form'!$F$162)</f>
        <v>- select -</v>
      </c>
      <c r="E32" s="99" t="str">
        <f>IF('SW initial CoS form'!$A$165="","",'SW initial CoS form'!$A$165)</f>
        <v/>
      </c>
    </row>
    <row r="33" spans="1:14" x14ac:dyDescent="0.25">
      <c r="A33" t="s">
        <v>741</v>
      </c>
      <c r="B33" s="75" t="b">
        <v>0</v>
      </c>
      <c r="C33" s="59">
        <f>IF($D$32="Yes",IF(OR(AND($D$33&lt;&gt;"",$D$33&lt;&gt;"- select -",$B$33=TRUE),$B$33=TRUE),10,0),IF($B$32=TRUE,10,0))</f>
        <v>0</v>
      </c>
      <c r="D33" s="77" t="s">
        <v>379</v>
      </c>
      <c r="E33" s="79" t="str">
        <f>IF('SW initial CoS form'!$B$161="","",'SW initial CoS form'!$B$161)</f>
        <v/>
      </c>
    </row>
    <row r="34" spans="1:14" x14ac:dyDescent="0.25">
      <c r="A34" t="s">
        <v>742</v>
      </c>
      <c r="B34" s="273" t="b">
        <v>0</v>
      </c>
      <c r="C34" s="59">
        <f>IF($D$32="Yes",IF(OR(AND($D$34&lt;&gt;"",$D$34&lt;&gt;"- select -",$B$34=TRUE),$B$34=TRUE),10,0),IF($B$32=TRUE,10,0))</f>
        <v>0</v>
      </c>
      <c r="D34" s="77" t="s">
        <v>379</v>
      </c>
      <c r="E34" s="274" t="str">
        <f>IF('SW initial CoS form'!$B$161="","",'SW initial CoS form'!$B$161)</f>
        <v/>
      </c>
    </row>
    <row r="35" spans="1:14" x14ac:dyDescent="0.25">
      <c r="A35" t="s">
        <v>750</v>
      </c>
      <c r="B35" s="273" t="b">
        <v>0</v>
      </c>
      <c r="C35" s="59">
        <f ca="1">IF(AND($B$35=TRUE,$D$35&lt;&gt;"",RIGHT($E$35,1)&lt;&gt;"?")=TRUE,10,0)</f>
        <v>0</v>
      </c>
      <c r="D35" s="457" t="str">
        <f>IF('SW initial CoS form'!$D$167="","",'SW initial CoS form'!$D$167)</f>
        <v/>
      </c>
      <c r="E35" s="458" t="str">
        <f ca="1">IF('SW initial CoS form'!$C$168="","",'SW initial CoS form'!$C$168)</f>
        <v/>
      </c>
    </row>
    <row r="36" spans="1:14" x14ac:dyDescent="0.25">
      <c r="A36" t="s">
        <v>378</v>
      </c>
      <c r="B36" s="273" t="b">
        <v>0</v>
      </c>
      <c r="C36" s="59">
        <f>IF(AND($B$36=TRUE,$D$36&lt;&gt;"",$D$36&lt;&gt;"- select -")=TRUE,10,0)</f>
        <v>0</v>
      </c>
      <c r="D36" s="76" t="str">
        <f>IF('SW initial CoS form'!$G$167="","",'SW initial CoS form'!$G$167)</f>
        <v>- select -</v>
      </c>
    </row>
    <row r="37" spans="1:14" x14ac:dyDescent="0.25">
      <c r="A37" t="s">
        <v>745</v>
      </c>
      <c r="B37" s="273" t="b">
        <v>0</v>
      </c>
      <c r="C37" s="59">
        <f>IF(AND($B$37=TRUE,$D$37&lt;&gt;"")=TRUE,10,0)</f>
        <v>0</v>
      </c>
      <c r="D37" s="85" t="str">
        <f>IF('SW initial CoS form'!$E$170&lt;&gt;"",'SW initial CoS form'!$E$170,"")</f>
        <v/>
      </c>
    </row>
    <row r="38" spans="1:14" x14ac:dyDescent="0.25">
      <c r="A38" t="s">
        <v>751</v>
      </c>
      <c r="B38" s="75" t="b">
        <v>0</v>
      </c>
      <c r="C38" s="59">
        <f>IF(AND($B$38=TRUE,$D$38&lt;&gt;"")=TRUE,10,0)</f>
        <v>0</v>
      </c>
      <c r="D38" s="76" t="str">
        <f>IF('SW initial CoS form'!$E$172&lt;&gt;"",'SW initial CoS form'!$E$172,"")</f>
        <v/>
      </c>
    </row>
    <row r="39" spans="1:14" x14ac:dyDescent="0.25">
      <c r="A39" t="s">
        <v>752</v>
      </c>
      <c r="B39" s="75" t="b">
        <v>0</v>
      </c>
      <c r="C39" s="59">
        <f ca="1">IF(AND($B$39=TRUE,$D$39&lt;&gt;"",$E$39="")=TRUE,10,0)</f>
        <v>0</v>
      </c>
      <c r="D39" s="76" t="str">
        <f>IF('SW initial CoS form'!$E$173&lt;&gt;"",'SW initial CoS form'!$E$173,"")</f>
        <v/>
      </c>
      <c r="E39" s="79" t="str">
        <f ca="1">IF('SW initial CoS form'!$A$174="","",'SW initial CoS form'!$A$174)</f>
        <v/>
      </c>
    </row>
    <row r="40" spans="1:14" x14ac:dyDescent="0.25">
      <c r="A40" t="s">
        <v>748</v>
      </c>
      <c r="B40" s="75" t="b">
        <v>0</v>
      </c>
      <c r="C40" s="59">
        <f>IF(AND($B$40=TRUE,$D$40&lt;&gt;"")=TRUE,10,0)</f>
        <v>0</v>
      </c>
      <c r="D40" s="85" t="str">
        <f>IF('SW initial CoS form'!$E$176&lt;&gt;"",'SW initial CoS form'!$E$176,"")</f>
        <v/>
      </c>
    </row>
    <row r="41" spans="1:14" x14ac:dyDescent="0.25">
      <c r="A41" t="s">
        <v>749</v>
      </c>
      <c r="B41" s="273" t="b">
        <v>0</v>
      </c>
      <c r="C41" s="59">
        <f>IF(AND($B$41=TRUE,$D$41&lt;&gt;"",$D$41&lt;&gt;"- select -")=TRUE,10,0)</f>
        <v>0</v>
      </c>
      <c r="D41" s="87" t="s">
        <v>379</v>
      </c>
    </row>
    <row r="42" spans="1:14" s="401" customFormat="1" ht="15.75" thickBot="1" x14ac:dyDescent="0.3">
      <c r="A42" s="272"/>
      <c r="B42" s="285"/>
      <c r="C42" s="281"/>
      <c r="D42" s="446"/>
      <c r="E42" s="272"/>
      <c r="F42" s="272"/>
      <c r="G42" s="272"/>
      <c r="H42" s="272"/>
      <c r="I42" s="272"/>
    </row>
    <row r="43" spans="1:14" s="401" customFormat="1" ht="15.75" thickBot="1" x14ac:dyDescent="0.3">
      <c r="A43" s="962" t="s">
        <v>705</v>
      </c>
      <c r="B43" s="963"/>
      <c r="C43" s="963"/>
      <c r="D43" s="963"/>
      <c r="E43" s="963"/>
      <c r="F43" s="963"/>
      <c r="G43" s="963"/>
      <c r="H43" s="963"/>
      <c r="I43" s="963"/>
      <c r="J43" s="963"/>
      <c r="K43" s="963"/>
      <c r="L43" s="963"/>
      <c r="M43" s="963"/>
      <c r="N43" s="964"/>
    </row>
    <row r="44" spans="1:14" s="401" customFormat="1" x14ac:dyDescent="0.25">
      <c r="A44" s="272"/>
      <c r="B44" s="285"/>
      <c r="C44" s="281"/>
      <c r="D44" s="446"/>
      <c r="E44" s="272"/>
      <c r="F44" s="272"/>
      <c r="G44" s="272"/>
      <c r="H44" s="272"/>
      <c r="I44" s="272"/>
    </row>
    <row r="45" spans="1:14" ht="15.75" thickBot="1" x14ac:dyDescent="0.3">
      <c r="A45" t="s">
        <v>754</v>
      </c>
      <c r="B45" s="273" t="b">
        <v>0</v>
      </c>
      <c r="C45" s="59">
        <f>IF(AND($B$45=TRUE,$D$45&lt;&gt;"",$D$25&lt;&gt;"- select -")=TRUE,10,0)</f>
        <v>0</v>
      </c>
      <c r="D45" s="87" t="s">
        <v>379</v>
      </c>
      <c r="E45" s="101" t="str">
        <f>IF('SW initial CoS form'!$A$182="","",'SW initial CoS form'!$A$182)</f>
        <v/>
      </c>
    </row>
    <row r="46" spans="1:14" x14ac:dyDescent="0.25">
      <c r="A46" t="s">
        <v>891</v>
      </c>
      <c r="B46" s="75" t="b">
        <v>0</v>
      </c>
      <c r="C46" s="59">
        <f>IF(AND($B$46=TRUE,$D$46&lt;&gt;"")=TRUE,10,0)</f>
        <v>0</v>
      </c>
      <c r="D46" s="92" t="str">
        <f>IF('SW initial CoS form'!$E184&lt;&gt;"",PROPER('SW initial CoS form'!$E184),"")</f>
        <v/>
      </c>
      <c r="E46" s="93" t="s">
        <v>760</v>
      </c>
      <c r="F46" s="94"/>
      <c r="G46" s="94"/>
    </row>
    <row r="47" spans="1:14" x14ac:dyDescent="0.25">
      <c r="D47" s="95" t="str">
        <f>IF('SW initial CoS form'!$E185&lt;&gt;"",PROPER('SW initial CoS form'!$E185),"")</f>
        <v/>
      </c>
      <c r="E47" s="96" t="s">
        <v>761</v>
      </c>
      <c r="F47" s="94"/>
      <c r="G47" s="94"/>
    </row>
    <row r="48" spans="1:14" x14ac:dyDescent="0.25">
      <c r="D48" s="95" t="str">
        <f>IF('SW initial CoS form'!$E186&lt;&gt;"",PROPER('SW initial CoS form'!$E186),"")</f>
        <v/>
      </c>
      <c r="E48" s="96" t="s">
        <v>762</v>
      </c>
      <c r="F48" s="94"/>
      <c r="G48" s="94"/>
    </row>
    <row r="49" spans="1:19" x14ac:dyDescent="0.25">
      <c r="D49" s="95" t="str">
        <f>IF('SW initial CoS form'!$E187&lt;&gt;"",PROPER('SW initial CoS form'!$E187),"")</f>
        <v/>
      </c>
      <c r="E49" s="96" t="s">
        <v>756</v>
      </c>
      <c r="F49" s="94"/>
      <c r="G49" s="94"/>
    </row>
    <row r="50" spans="1:19" x14ac:dyDescent="0.25">
      <c r="D50" s="95" t="str">
        <f>IF('SW initial CoS form'!$E188&lt;&gt;"",PROPER('SW initial CoS form'!$E188),"")</f>
        <v/>
      </c>
      <c r="E50" s="96" t="s">
        <v>757</v>
      </c>
      <c r="F50" s="94"/>
      <c r="G50" s="94"/>
    </row>
    <row r="51" spans="1:19" ht="15.75" thickBot="1" x14ac:dyDescent="0.3">
      <c r="D51" s="97" t="str">
        <f>IF('SW initial CoS form'!$E189&lt;&gt;"",UPPER('SW initial CoS form'!$E189),"")</f>
        <v/>
      </c>
      <c r="E51" s="96" t="s">
        <v>758</v>
      </c>
      <c r="F51" s="94"/>
      <c r="G51" s="94"/>
    </row>
    <row r="52" spans="1:19" x14ac:dyDescent="0.25">
      <c r="A52" t="s">
        <v>759</v>
      </c>
      <c r="B52" s="273" t="b">
        <v>0</v>
      </c>
      <c r="C52" s="59">
        <f>IF(AND($B$52=TRUE,$D$52&lt;&gt;"")=TRUE,10,0)</f>
        <v>0</v>
      </c>
      <c r="D52" s="275" t="str">
        <f>IF('SW initial CoS form'!$E$191&lt;&gt;"",'SW initial CoS form'!$E$191,"")</f>
        <v/>
      </c>
    </row>
    <row r="54" spans="1:19" s="401" customFormat="1" x14ac:dyDescent="0.25"/>
    <row r="55" spans="1:19" s="401" customFormat="1" ht="18" customHeight="1" thickBot="1" x14ac:dyDescent="0.3">
      <c r="A55" s="452" t="s">
        <v>1162</v>
      </c>
      <c r="B55" s="273" t="b">
        <v>0</v>
      </c>
      <c r="C55" s="401" t="s">
        <v>1164</v>
      </c>
      <c r="E55" s="14" t="s">
        <v>1166</v>
      </c>
    </row>
    <row r="56" spans="1:19" s="401" customFormat="1" ht="15.75" thickBot="1" x14ac:dyDescent="0.3">
      <c r="A56" s="401" t="s">
        <v>1168</v>
      </c>
      <c r="B56" s="448" t="str">
        <f>IF('SW initial CoS form'!$J$194="","",'SW initial CoS form'!$J$194)</f>
        <v>- select -</v>
      </c>
      <c r="C56" s="59">
        <f>IF(AND($B$56&lt;&gt;"- select -",$B$56&lt;&gt;"",$B$57&lt;&gt;"- select -",$B$57&lt;&gt;"",$B$55=TRUE,$C$58=""),10,0)</f>
        <v>0</v>
      </c>
      <c r="E56" s="451" t="str">
        <f>IF($C$56=0,"section incomplete",IF($B$56="Yes",1,0)+IF(AND($B$57="Yes",$C$57&lt;&gt;""),$C$57,0))</f>
        <v>section incomplete</v>
      </c>
    </row>
    <row r="57" spans="1:19" s="401" customFormat="1" x14ac:dyDescent="0.25">
      <c r="A57" s="272" t="s">
        <v>1163</v>
      </c>
      <c r="B57" s="448" t="str">
        <f>IF('SW initial CoS form'!$J$198="","",'SW initial CoS form'!$J$198)</f>
        <v>- select -</v>
      </c>
      <c r="C57" s="450" t="str">
        <f>IF('SW initial CoS form'!$J$199="","",'SW initial CoS form'!$J$199)</f>
        <v/>
      </c>
      <c r="D57" s="401" t="s">
        <v>1165</v>
      </c>
    </row>
    <row r="58" spans="1:19" s="401" customFormat="1" x14ac:dyDescent="0.25">
      <c r="C58" s="453" t="str">
        <f>IF('SW initial CoS form'!$J$201="","",'SW initial CoS form'!$J$201)</f>
        <v/>
      </c>
    </row>
    <row r="59" spans="1:19" s="401" customFormat="1" x14ac:dyDescent="0.25"/>
    <row r="60" spans="1:19" x14ac:dyDescent="0.25">
      <c r="A60" s="35" t="s">
        <v>773</v>
      </c>
      <c r="B60" s="273" t="b">
        <v>0</v>
      </c>
      <c r="C60" s="59">
        <f>IF(OR($B$6=TRUE,AND($B$60=TRUE,$D$60&lt;&gt;"",$D$60&lt;&gt;"- select -")=TRUE),10,0)</f>
        <v>0</v>
      </c>
      <c r="D60" s="80" t="str">
        <f>IF('SW initial CoS form'!$J$217="","",'SW initial CoS form'!$J$217)</f>
        <v>- select -</v>
      </c>
      <c r="E60" s="197" t="str">
        <f>IF('SW initial CoS form'!$A$216="","",'SW initial CoS form'!$A$216)</f>
        <v/>
      </c>
    </row>
    <row r="61" spans="1:19" s="267" customFormat="1" x14ac:dyDescent="0.25">
      <c r="B61" s="231"/>
      <c r="D61" s="80"/>
      <c r="E61" s="197"/>
    </row>
    <row r="62" spans="1:19" s="267" customFormat="1" x14ac:dyDescent="0.25">
      <c r="A62" s="350" t="s">
        <v>1170</v>
      </c>
      <c r="B62" s="350"/>
      <c r="C62" s="1017" t="s">
        <v>1014</v>
      </c>
      <c r="D62" s="1017"/>
      <c r="E62" s="1017"/>
      <c r="F62" s="1017"/>
      <c r="G62" s="1017"/>
      <c r="H62" s="1017"/>
      <c r="I62" s="1017"/>
      <c r="J62" s="1017"/>
      <c r="K62" s="1017"/>
      <c r="L62" s="350"/>
      <c r="M62" s="350"/>
    </row>
    <row r="63" spans="1:19" s="267" customFormat="1" x14ac:dyDescent="0.25">
      <c r="B63" s="231"/>
      <c r="D63" s="80"/>
      <c r="E63" s="197"/>
      <c r="O63" s="934" t="s">
        <v>1013</v>
      </c>
      <c r="P63" s="935"/>
      <c r="Q63" s="935"/>
      <c r="R63" s="935"/>
      <c r="S63" s="936"/>
    </row>
    <row r="64" spans="1:19" x14ac:dyDescent="0.25">
      <c r="A64" s="35" t="s">
        <v>1006</v>
      </c>
      <c r="C64" s="59">
        <f>IF(AND($D$64&lt;&gt;"- select -",$D$64&lt;&gt;"Not Sure",$D$64&lt;&gt;"",$B$65=TRUE),10,0)</f>
        <v>0</v>
      </c>
      <c r="D64" s="335" t="str">
        <f>'SW initial CoS form'!$I$234</f>
        <v>- select -</v>
      </c>
      <c r="F64" s="142" t="s">
        <v>800</v>
      </c>
      <c r="O64" s="937"/>
      <c r="P64" s="938"/>
      <c r="Q64" s="938"/>
      <c r="R64" s="938"/>
      <c r="S64" s="939"/>
    </row>
    <row r="65" spans="1:19" s="267" customFormat="1" x14ac:dyDescent="0.25">
      <c r="A65" s="35" t="s">
        <v>1023</v>
      </c>
      <c r="B65" s="273" t="b">
        <v>0</v>
      </c>
      <c r="C65" s="59">
        <f>IF(AND($D$64&lt;&gt;"- select -",$D$64&lt;&gt;"Not Sure",$D$64&lt;&gt;"",$B$65=TRUE),10,0)</f>
        <v>0</v>
      </c>
      <c r="E65" s="337" t="s">
        <v>868</v>
      </c>
      <c r="F65" s="955" t="str">
        <f>$E$226</f>
        <v/>
      </c>
      <c r="G65" s="956"/>
      <c r="H65" s="956"/>
      <c r="I65" s="956"/>
      <c r="J65" s="956"/>
      <c r="K65" s="957"/>
      <c r="L65" s="336"/>
      <c r="M65" s="336"/>
      <c r="O65" s="937"/>
      <c r="P65" s="938"/>
      <c r="Q65" s="938"/>
      <c r="R65" s="938"/>
      <c r="S65" s="939"/>
    </row>
    <row r="66" spans="1:19" s="267" customFormat="1" x14ac:dyDescent="0.25">
      <c r="A66" s="351"/>
      <c r="B66" s="351"/>
      <c r="C66" s="351"/>
      <c r="D66" s="351"/>
      <c r="E66" s="337" t="s">
        <v>801</v>
      </c>
      <c r="F66" s="955" t="str">
        <f>$D$133</f>
        <v/>
      </c>
      <c r="G66" s="956"/>
      <c r="H66" s="956"/>
      <c r="I66" s="956"/>
      <c r="J66" s="956"/>
      <c r="K66" s="956"/>
      <c r="L66" s="956"/>
      <c r="M66" s="957"/>
      <c r="O66" s="937"/>
      <c r="P66" s="938"/>
      <c r="Q66" s="938"/>
      <c r="R66" s="938"/>
      <c r="S66" s="939"/>
    </row>
    <row r="67" spans="1:19" s="267" customFormat="1" x14ac:dyDescent="0.25">
      <c r="A67" s="333" t="str">
        <f>'SW initial CoS form'!$A$236</f>
        <v/>
      </c>
      <c r="E67" s="337" t="s">
        <v>1004</v>
      </c>
      <c r="F67" s="959" t="str">
        <f>IF($D$130="","Enter SOC code below",$D$130)</f>
        <v>Enter SOC code below</v>
      </c>
      <c r="G67" s="960"/>
      <c r="H67" s="960"/>
      <c r="I67" s="961"/>
      <c r="J67" s="336"/>
      <c r="K67" s="336"/>
      <c r="L67" s="336"/>
      <c r="M67" s="336"/>
      <c r="O67" s="937"/>
      <c r="P67" s="938"/>
      <c r="Q67" s="938"/>
      <c r="R67" s="938"/>
      <c r="S67" s="939"/>
    </row>
    <row r="68" spans="1:19" s="267" customFormat="1" ht="15" customHeight="1" x14ac:dyDescent="0.25">
      <c r="E68" s="338" t="s">
        <v>739</v>
      </c>
      <c r="F68" s="958" t="str">
        <f>$D$29</f>
        <v>- select -</v>
      </c>
      <c r="G68" s="956"/>
      <c r="H68" s="957"/>
      <c r="I68" s="336"/>
      <c r="J68" s="336"/>
      <c r="K68" s="336"/>
      <c r="O68" s="937"/>
      <c r="P68" s="938"/>
      <c r="Q68" s="938"/>
      <c r="R68" s="938"/>
      <c r="S68" s="939"/>
    </row>
    <row r="69" spans="1:19" s="267" customFormat="1" x14ac:dyDescent="0.25">
      <c r="A69" s="1050" t="s">
        <v>1005</v>
      </c>
      <c r="B69" s="1050"/>
      <c r="C69" s="1050"/>
      <c r="D69" s="1050"/>
      <c r="E69" s="337" t="s">
        <v>741</v>
      </c>
      <c r="F69" s="958" t="str">
        <f>$D$33</f>
        <v>- select -</v>
      </c>
      <c r="G69" s="956"/>
      <c r="H69" s="957"/>
      <c r="I69" s="336"/>
      <c r="J69" s="336"/>
      <c r="K69" s="336"/>
      <c r="O69" s="937"/>
      <c r="P69" s="938"/>
      <c r="Q69" s="938"/>
      <c r="R69" s="938"/>
      <c r="S69" s="939"/>
    </row>
    <row r="70" spans="1:19" s="267" customFormat="1" x14ac:dyDescent="0.25">
      <c r="E70" s="337" t="s">
        <v>742</v>
      </c>
      <c r="F70" s="958" t="str">
        <f>$D$34</f>
        <v>- select -</v>
      </c>
      <c r="G70" s="956"/>
      <c r="H70" s="957"/>
      <c r="I70" s="336"/>
      <c r="J70" s="336"/>
      <c r="K70" s="336"/>
      <c r="O70" s="940"/>
      <c r="P70" s="941"/>
      <c r="Q70" s="941"/>
      <c r="R70" s="941"/>
      <c r="S70" s="942"/>
    </row>
    <row r="71" spans="1:19" s="267" customFormat="1" x14ac:dyDescent="0.25">
      <c r="E71" s="337"/>
      <c r="F71" s="142"/>
      <c r="G71" s="334"/>
      <c r="H71" s="334"/>
      <c r="I71" s="336"/>
      <c r="J71" s="336"/>
      <c r="K71" s="336"/>
      <c r="O71" s="367"/>
      <c r="P71" s="367"/>
      <c r="Q71" s="367"/>
      <c r="R71" s="367"/>
      <c r="S71" s="367"/>
    </row>
    <row r="72" spans="1:19" s="267" customFormat="1" x14ac:dyDescent="0.25">
      <c r="A72" s="267" t="s">
        <v>1025</v>
      </c>
      <c r="B72" s="943" t="str">
        <f>IF('SW initial CoS form'!$G$237&lt;&gt;"",'SW initial CoS form'!$G$237,"")</f>
        <v/>
      </c>
      <c r="C72" s="944"/>
      <c r="D72" s="945"/>
      <c r="E72" s="200" t="s">
        <v>1026</v>
      </c>
      <c r="F72" s="946"/>
      <c r="G72" s="947"/>
      <c r="H72" s="947"/>
      <c r="I72" s="947"/>
      <c r="J72" s="947"/>
      <c r="K72" s="947"/>
      <c r="L72" s="947"/>
      <c r="M72" s="948"/>
      <c r="O72" s="367"/>
      <c r="P72" s="367"/>
      <c r="Q72" s="367"/>
      <c r="R72" s="367"/>
      <c r="S72" s="367"/>
    </row>
    <row r="73" spans="1:19" s="267" customFormat="1" x14ac:dyDescent="0.25">
      <c r="B73" s="943" t="str">
        <f>IF('SW initial CoS form'!$G$238&lt;&gt;"",'SW initial CoS form'!$G$238,"")</f>
        <v/>
      </c>
      <c r="C73" s="944"/>
      <c r="D73" s="945"/>
      <c r="E73" s="368" t="s">
        <v>800</v>
      </c>
      <c r="F73" s="949"/>
      <c r="G73" s="950"/>
      <c r="H73" s="950"/>
      <c r="I73" s="950"/>
      <c r="J73" s="950"/>
      <c r="K73" s="950"/>
      <c r="L73" s="950"/>
      <c r="M73" s="951"/>
      <c r="O73" s="367"/>
      <c r="P73" s="367"/>
      <c r="Q73" s="367"/>
      <c r="R73" s="367"/>
      <c r="S73" s="367"/>
    </row>
    <row r="74" spans="1:19" s="267" customFormat="1" x14ac:dyDescent="0.25">
      <c r="B74" s="943" t="str">
        <f>IF('SW initial CoS form'!$G$239&lt;&gt;"",'SW initial CoS form'!$G$239,"")</f>
        <v/>
      </c>
      <c r="C74" s="944"/>
      <c r="D74" s="945"/>
      <c r="E74" s="337"/>
      <c r="F74" s="949"/>
      <c r="G74" s="950"/>
      <c r="H74" s="950"/>
      <c r="I74" s="950"/>
      <c r="J74" s="950"/>
      <c r="K74" s="950"/>
      <c r="L74" s="950"/>
      <c r="M74" s="951"/>
      <c r="O74" s="367"/>
      <c r="P74" s="367"/>
      <c r="Q74" s="367"/>
      <c r="R74" s="367"/>
      <c r="S74" s="367"/>
    </row>
    <row r="75" spans="1:19" s="267" customFormat="1" x14ac:dyDescent="0.25">
      <c r="A75" s="267" t="s">
        <v>1024</v>
      </c>
      <c r="B75" s="284" t="str">
        <f>'SW initial CoS form'!$J$240</f>
        <v>- select -</v>
      </c>
      <c r="E75" s="337"/>
      <c r="F75" s="952"/>
      <c r="G75" s="953"/>
      <c r="H75" s="953"/>
      <c r="I75" s="953"/>
      <c r="J75" s="953"/>
      <c r="K75" s="953"/>
      <c r="L75" s="953"/>
      <c r="M75" s="954"/>
      <c r="O75" s="367"/>
      <c r="P75" s="367"/>
      <c r="Q75" s="367"/>
      <c r="R75" s="367"/>
      <c r="S75" s="367"/>
    </row>
    <row r="76" spans="1:19" s="267" customFormat="1" ht="15" customHeight="1" x14ac:dyDescent="0.25">
      <c r="A76" s="267" t="s">
        <v>1027</v>
      </c>
      <c r="B76" s="273" t="b">
        <v>0</v>
      </c>
      <c r="C76" s="59">
        <f>IF(OR($B$76=TRUE,'SW initial CoS form'!$A$236&lt;&gt;""),10,0)</f>
        <v>0</v>
      </c>
      <c r="E76" s="337"/>
      <c r="F76" s="1060" t="s">
        <v>1031</v>
      </c>
      <c r="G76" s="1060"/>
      <c r="H76" s="1060"/>
      <c r="I76" s="1060"/>
      <c r="J76" s="1060"/>
      <c r="K76" s="1060"/>
      <c r="L76" s="1060"/>
      <c r="M76" s="1060"/>
      <c r="N76" s="369"/>
      <c r="O76" s="369"/>
      <c r="P76" s="367"/>
      <c r="Q76" s="367"/>
      <c r="R76" s="367"/>
      <c r="S76" s="367"/>
    </row>
    <row r="77" spans="1:19" s="267" customFormat="1" x14ac:dyDescent="0.25">
      <c r="E77" s="337"/>
      <c r="F77" s="366"/>
      <c r="G77" s="334"/>
      <c r="H77" s="334"/>
      <c r="I77" s="336"/>
      <c r="J77" s="336"/>
      <c r="K77" s="336"/>
      <c r="O77" s="367"/>
      <c r="P77" s="367"/>
      <c r="Q77" s="367"/>
      <c r="R77" s="367"/>
      <c r="S77" s="367"/>
    </row>
    <row r="78" spans="1:19" s="267" customFormat="1" x14ac:dyDescent="0.25">
      <c r="A78" s="340" t="s">
        <v>800</v>
      </c>
      <c r="F78" s="334"/>
      <c r="G78" s="334"/>
      <c r="H78" s="334"/>
      <c r="I78" s="208"/>
      <c r="J78" s="208"/>
      <c r="K78" s="208"/>
    </row>
    <row r="79" spans="1:19" s="267" customFormat="1" ht="15" customHeight="1" x14ac:dyDescent="0.25">
      <c r="A79" s="146" t="s">
        <v>1007</v>
      </c>
      <c r="B79" s="347" t="s">
        <v>379</v>
      </c>
      <c r="C79" s="59">
        <f>IF(OR($B$79="No",AND($B$79="Yes",$B$80&lt;&gt;"",$B$81&lt;&gt;"",$B$83&lt;&gt;"")),10,0)</f>
        <v>0</v>
      </c>
      <c r="D79" s="344" t="s">
        <v>1012</v>
      </c>
      <c r="E79" s="989" t="str">
        <f>IF(OR($B$79="",$B$79="- select -"),"",IF($B$79="No",IF('SW initial CoS form'!$A$236&lt;&gt;"","ATAS requirement does not apply because the applicant is an exempt national","ATAS requirement does not apply because the role does not include research at a PhD-level or above in a relevant subject area"),"ATAS requirement applies, certificate no: " &amp; $B$83))</f>
        <v/>
      </c>
      <c r="F79" s="990"/>
      <c r="G79" s="990"/>
      <c r="H79" s="990"/>
      <c r="I79" s="991"/>
      <c r="J79" s="142"/>
      <c r="K79" s="208"/>
    </row>
    <row r="80" spans="1:19" s="267" customFormat="1" x14ac:dyDescent="0.25">
      <c r="A80" s="146" t="s">
        <v>1008</v>
      </c>
      <c r="B80" s="348"/>
      <c r="C80" s="59">
        <f>IF(OR($B$79="No",AND($B$79="Yes",$B$80&lt;&gt;"",$B$81&lt;&gt;"",$B$83&lt;&gt;"")),10,0)</f>
        <v>0</v>
      </c>
      <c r="D80" s="368" t="s">
        <v>800</v>
      </c>
      <c r="E80" s="992"/>
      <c r="F80" s="993"/>
      <c r="G80" s="993"/>
      <c r="H80" s="993"/>
      <c r="I80" s="994"/>
      <c r="J80" s="336"/>
      <c r="K80" s="336"/>
    </row>
    <row r="81" spans="1:16" s="267" customFormat="1" x14ac:dyDescent="0.25">
      <c r="A81" s="146" t="s">
        <v>1009</v>
      </c>
      <c r="B81" s="348"/>
      <c r="C81" s="59">
        <f>IF(OR($B$79="No",AND($B$79="Yes",$B$80&lt;&gt;"",$B$81&lt;&gt;"",$B$83&lt;&gt;"")),10,0)</f>
        <v>0</v>
      </c>
      <c r="D81" s="339"/>
      <c r="E81" s="995"/>
      <c r="F81" s="996"/>
      <c r="G81" s="996"/>
      <c r="H81" s="996"/>
      <c r="I81" s="997"/>
      <c r="J81" s="345"/>
      <c r="K81" s="336"/>
    </row>
    <row r="82" spans="1:16" s="267" customFormat="1" x14ac:dyDescent="0.25">
      <c r="A82" s="341" t="s">
        <v>1010</v>
      </c>
      <c r="B82" s="339"/>
      <c r="C82" s="339"/>
      <c r="D82" s="339"/>
      <c r="E82" s="342"/>
      <c r="F82" s="342"/>
      <c r="G82" s="342"/>
      <c r="H82" s="342"/>
      <c r="I82" s="208"/>
      <c r="J82" s="208"/>
      <c r="K82" s="208"/>
    </row>
    <row r="83" spans="1:16" s="267" customFormat="1" ht="15" customHeight="1" x14ac:dyDescent="0.25">
      <c r="A83" s="146" t="s">
        <v>1011</v>
      </c>
      <c r="B83" s="352"/>
      <c r="C83" s="59">
        <f>IF(OR($B$79="No",AND($B$79="Yes",$B$80&lt;&gt;"",$B$81&lt;&gt;"",$B$83&lt;&gt;"")),10,0)</f>
        <v>0</v>
      </c>
      <c r="D83" s="339"/>
      <c r="E83" s="998" t="str">
        <f>IF(OR($B$79="",$B$79="- select -"),"Please complete the ATAS questions",IF(AND($B$79="Yes",OR($B$80="",$B$81="",$B$83="")),"ATAS certificate details required before CoS can be issued!","Please remember to include ATAS SN when issuing CoS"))</f>
        <v>Please complete the ATAS questions</v>
      </c>
      <c r="F83" s="998"/>
      <c r="G83" s="998"/>
      <c r="H83" s="998"/>
      <c r="I83" s="998"/>
      <c r="J83" s="208"/>
      <c r="K83" s="208"/>
      <c r="L83" s="349"/>
      <c r="M83" s="349"/>
      <c r="N83" s="349"/>
      <c r="O83" s="349"/>
      <c r="P83" s="349"/>
    </row>
    <row r="84" spans="1:16" s="267" customFormat="1" ht="15" customHeight="1" x14ac:dyDescent="0.25">
      <c r="A84" s="146"/>
      <c r="B84" s="353"/>
      <c r="C84" s="339"/>
      <c r="D84" s="339"/>
      <c r="E84" s="343"/>
      <c r="F84" s="343"/>
      <c r="G84" s="343"/>
      <c r="H84" s="343"/>
      <c r="I84" s="343"/>
      <c r="J84" s="208"/>
      <c r="K84" s="208"/>
      <c r="L84" s="349"/>
      <c r="M84" s="349"/>
      <c r="N84" s="349"/>
      <c r="O84" s="349"/>
      <c r="P84" s="349"/>
    </row>
    <row r="85" spans="1:16" s="267" customFormat="1" ht="15" customHeight="1" x14ac:dyDescent="0.25">
      <c r="A85" s="354"/>
      <c r="B85" s="355"/>
      <c r="C85" s="356"/>
      <c r="D85" s="357"/>
      <c r="E85" s="358"/>
      <c r="F85" s="358"/>
      <c r="G85" s="358"/>
      <c r="H85" s="358"/>
      <c r="I85" s="358"/>
      <c r="J85" s="359"/>
      <c r="K85" s="359"/>
      <c r="L85" s="360"/>
      <c r="M85" s="360"/>
      <c r="N85" s="349"/>
      <c r="O85" s="349"/>
      <c r="P85" s="349"/>
    </row>
    <row r="86" spans="1:16" s="267" customFormat="1" ht="15.75" thickBot="1" x14ac:dyDescent="0.3"/>
    <row r="87" spans="1:16" s="267" customFormat="1" ht="15.75" thickBot="1" x14ac:dyDescent="0.3">
      <c r="A87" s="962" t="s">
        <v>706</v>
      </c>
      <c r="B87" s="963"/>
      <c r="C87" s="963"/>
      <c r="D87" s="963"/>
      <c r="E87" s="963"/>
      <c r="F87" s="963"/>
      <c r="G87" s="963"/>
      <c r="H87" s="963"/>
      <c r="I87" s="963"/>
      <c r="J87" s="963"/>
      <c r="K87" s="963"/>
      <c r="L87" s="963"/>
      <c r="M87" s="963"/>
      <c r="N87" s="964"/>
    </row>
    <row r="88" spans="1:16" s="267" customFormat="1" x14ac:dyDescent="0.25"/>
    <row r="89" spans="1:16" x14ac:dyDescent="0.25">
      <c r="A89" t="s">
        <v>766</v>
      </c>
      <c r="B89" s="75" t="b">
        <v>0</v>
      </c>
      <c r="C89" s="59">
        <f>IF(AND($B$89=TRUE,$E$89="")=TRUE,10,0)</f>
        <v>0</v>
      </c>
      <c r="D89" s="86" t="str">
        <f>IF('SW initial CoS form'!$F$246&lt;&gt;"",'SW initial CoS form'!$F$246,"")</f>
        <v/>
      </c>
      <c r="E89" s="101" t="str">
        <f>IF('SW initial CoS form'!$D$248="","",'SW initial CoS form'!$D$248)</f>
        <v/>
      </c>
    </row>
    <row r="90" spans="1:16" x14ac:dyDescent="0.25">
      <c r="A90" t="s">
        <v>767</v>
      </c>
      <c r="D90" s="86" t="str">
        <f>IF('SW initial CoS form'!$F$247&lt;&gt;"",'SW initial CoS form'!$F$247,"")</f>
        <v/>
      </c>
    </row>
    <row r="91" spans="1:16" s="267" customFormat="1" x14ac:dyDescent="0.25">
      <c r="D91" s="275"/>
    </row>
    <row r="92" spans="1:16" x14ac:dyDescent="0.25">
      <c r="A92" s="268" t="s">
        <v>1177</v>
      </c>
      <c r="B92" s="75" t="b">
        <v>0</v>
      </c>
      <c r="C92" s="59">
        <f>IF(AND($B$92=TRUE,$D$92&lt;&gt;"")=TRUE,10,0)</f>
        <v>0</v>
      </c>
      <c r="D92" s="86" t="str">
        <f>IF('SW initial CoS form'!$F$264&lt;&gt;"",'SW initial CoS form'!$F$264,"")</f>
        <v/>
      </c>
      <c r="E92" s="121" t="str">
        <f ca="1">CONCATENATE('SW initial CoS form'!E265,IF(AND('SW initial CoS form'!E265&lt;&gt;"",'SW initial CoS form'!A266&lt;&gt;""),"/ ",""),'SW initial CoS form'!A266)</f>
        <v/>
      </c>
    </row>
    <row r="93" spans="1:16" x14ac:dyDescent="0.25">
      <c r="A93" s="268" t="s">
        <v>1178</v>
      </c>
      <c r="B93" s="75" t="b">
        <v>0</v>
      </c>
      <c r="C93" s="59">
        <f>IF(AND($B$93=TRUE,$D$93&lt;&gt;"")=TRUE,10,0)</f>
        <v>0</v>
      </c>
      <c r="D93" s="86" t="str">
        <f>IF('SW initial CoS form'!$F$267&lt;&gt;"",'SW initial CoS form'!$F$267,"")</f>
        <v/>
      </c>
      <c r="E93" s="1051" t="str">
        <f>CONCATENATE('SW initial CoS form'!$F$273,"/ ",'SW initial CoS form'!$F$274,"/ ",'SW initial CoS form'!$F$275,"/ ",'SW initial CoS form'!$F$276,"/ ",'SW initial CoS form'!$F$277,"/ ",'SW initial CoS form'!$F$278)</f>
        <v xml:space="preserve">/ / / / / </v>
      </c>
      <c r="F93" s="1052"/>
      <c r="G93" s="1052"/>
      <c r="H93" s="1052"/>
      <c r="I93" s="1052"/>
      <c r="J93" s="1052"/>
      <c r="K93" s="1052"/>
      <c r="L93" s="1052"/>
      <c r="M93" s="1053"/>
    </row>
    <row r="94" spans="1:16" x14ac:dyDescent="0.25">
      <c r="A94" s="122"/>
      <c r="B94" s="74"/>
      <c r="C94" s="123"/>
      <c r="D94" s="124"/>
      <c r="E94" s="1054"/>
      <c r="F94" s="1055"/>
      <c r="G94" s="1055"/>
      <c r="H94" s="1055"/>
      <c r="I94" s="1055"/>
      <c r="J94" s="1055"/>
      <c r="K94" s="1055"/>
      <c r="L94" s="1055"/>
      <c r="M94" s="1056"/>
    </row>
    <row r="95" spans="1:16" ht="15.75" thickBot="1" x14ac:dyDescent="0.3">
      <c r="A95" s="122"/>
      <c r="B95" s="125" t="s">
        <v>780</v>
      </c>
      <c r="C95" s="123"/>
      <c r="D95" s="126" t="s">
        <v>781</v>
      </c>
      <c r="E95" s="1057"/>
      <c r="F95" s="1058"/>
      <c r="G95" s="1058"/>
      <c r="H95" s="1058"/>
      <c r="I95" s="1058"/>
      <c r="J95" s="1058"/>
      <c r="K95" s="1058"/>
      <c r="L95" s="1058"/>
      <c r="M95" s="1059"/>
    </row>
    <row r="96" spans="1:16" ht="15.75" thickBot="1" x14ac:dyDescent="0.3">
      <c r="A96" s="268" t="s">
        <v>782</v>
      </c>
      <c r="B96" s="75" t="b">
        <v>0</v>
      </c>
      <c r="C96" s="59">
        <f>IF(AND($B$96=TRUE,$D$96=TRUE)=TRUE,10,0)</f>
        <v>0</v>
      </c>
      <c r="D96" s="127" t="b">
        <v>0</v>
      </c>
    </row>
    <row r="97" spans="1:5" x14ac:dyDescent="0.25">
      <c r="A97" t="s">
        <v>890</v>
      </c>
      <c r="B97" s="75" t="b">
        <v>0</v>
      </c>
      <c r="C97" s="59">
        <f>IF(AND($B$97=TRUE,$D$97&lt;&gt;"",$D$97&lt;&gt;"- select -")=TRUE,10,0)</f>
        <v>0</v>
      </c>
      <c r="D97" s="57" t="str">
        <f>IF('SW initial CoS form'!$J$289&lt;&gt;"",'SW initial CoS form'!$J$289,"")</f>
        <v>Yes</v>
      </c>
    </row>
    <row r="99" spans="1:5" ht="15.75" thickBot="1" x14ac:dyDescent="0.3">
      <c r="A99" t="s">
        <v>785</v>
      </c>
      <c r="B99" s="75" t="b">
        <v>0</v>
      </c>
      <c r="C99" s="59">
        <f>IF(AND($B$99=TRUE,$D$99&lt;&gt;"")=TRUE,10,0)</f>
        <v>0</v>
      </c>
      <c r="D99" s="30" t="str">
        <f>IF('SW initial CoS form'!$D$293&lt;&gt;"",'SW initial CoS form'!$D$293,"")</f>
        <v/>
      </c>
      <c r="E99" s="57" t="str">
        <f>IF('SW initial CoS form'!$E$293&lt;&gt;"",'SW initial CoS form'!$E$293,"")</f>
        <v/>
      </c>
    </row>
    <row r="100" spans="1:5" x14ac:dyDescent="0.25">
      <c r="A100" t="s">
        <v>792</v>
      </c>
      <c r="B100" s="130" t="b">
        <v>0</v>
      </c>
      <c r="C100" s="59">
        <f>IF(AND($B$100=TRUE,$D$101&lt;&gt;"")=TRUE,10,0)</f>
        <v>0</v>
      </c>
      <c r="D100" s="92" t="str">
        <f>IF('SW initial CoS form'!$E295&lt;&gt;"",'SW initial CoS form'!$E295,"")</f>
        <v>University of Oxford</v>
      </c>
      <c r="E100" s="93" t="s">
        <v>760</v>
      </c>
    </row>
    <row r="101" spans="1:5" x14ac:dyDescent="0.25">
      <c r="D101" s="95" t="str">
        <f>IF('SW initial CoS form'!$E296&lt;&gt;"",'SW initial CoS form'!$E296,"")</f>
        <v/>
      </c>
      <c r="E101" s="96" t="s">
        <v>761</v>
      </c>
    </row>
    <row r="102" spans="1:5" x14ac:dyDescent="0.25">
      <c r="D102" s="95" t="str">
        <f>IF('SW initial CoS form'!$E297&lt;&gt;"",'SW initial CoS form'!$E297,"")</f>
        <v/>
      </c>
      <c r="E102" s="96" t="s">
        <v>762</v>
      </c>
    </row>
    <row r="103" spans="1:5" x14ac:dyDescent="0.25">
      <c r="D103" s="95" t="str">
        <f>IF('SW initial CoS form'!$E298&lt;&gt;"",'SW initial CoS form'!$E298,"")</f>
        <v/>
      </c>
      <c r="E103" s="96" t="s">
        <v>756</v>
      </c>
    </row>
    <row r="104" spans="1:5" x14ac:dyDescent="0.25">
      <c r="D104" s="95" t="str">
        <f>IF('SW initial CoS form'!$E299&lt;&gt;"",'SW initial CoS form'!$E299,"")</f>
        <v/>
      </c>
      <c r="E104" s="96" t="s">
        <v>788</v>
      </c>
    </row>
    <row r="105" spans="1:5" ht="15.75" thickBot="1" x14ac:dyDescent="0.3">
      <c r="D105" s="131" t="str">
        <f>IF('SW initial CoS form'!$E300&lt;&gt;"",'SW initial CoS form'!$E300,"")</f>
        <v/>
      </c>
      <c r="E105" s="96" t="s">
        <v>758</v>
      </c>
    </row>
    <row r="106" spans="1:5" x14ac:dyDescent="0.25">
      <c r="A106" t="s">
        <v>793</v>
      </c>
      <c r="B106" s="75" t="b">
        <v>0</v>
      </c>
      <c r="C106" s="59">
        <f>IF(OR(AND($D$107="",$B$100=TRUE),AND($D$107&lt;&gt;"",$B$106=TRUE)),10,0)</f>
        <v>0</v>
      </c>
      <c r="D106" s="92" t="str">
        <f>IF('SW initial CoS form'!$E302&lt;&gt;"",'SW initial CoS form'!$E302,"")</f>
        <v>University of Oxford</v>
      </c>
      <c r="E106" s="93" t="s">
        <v>760</v>
      </c>
    </row>
    <row r="107" spans="1:5" x14ac:dyDescent="0.25">
      <c r="D107" s="95" t="str">
        <f>IF('SW initial CoS form'!$E303&lt;&gt;"",'SW initial CoS form'!$E303,"")</f>
        <v/>
      </c>
      <c r="E107" s="96" t="s">
        <v>761</v>
      </c>
    </row>
    <row r="108" spans="1:5" x14ac:dyDescent="0.25">
      <c r="D108" s="95" t="str">
        <f>IF('SW initial CoS form'!$E304&lt;&gt;"",'SW initial CoS form'!$E304,"")</f>
        <v/>
      </c>
      <c r="E108" s="96" t="s">
        <v>762</v>
      </c>
    </row>
    <row r="109" spans="1:5" x14ac:dyDescent="0.25">
      <c r="D109" s="95" t="str">
        <f>IF('SW initial CoS form'!$E305&lt;&gt;"",'SW initial CoS form'!$E305,"")</f>
        <v/>
      </c>
      <c r="E109" s="96" t="s">
        <v>756</v>
      </c>
    </row>
    <row r="110" spans="1:5" x14ac:dyDescent="0.25">
      <c r="D110" s="95" t="str">
        <f>IF('SW initial CoS form'!$E306&lt;&gt;"",'SW initial CoS form'!$E306,"")</f>
        <v/>
      </c>
      <c r="E110" s="96" t="s">
        <v>788</v>
      </c>
    </row>
    <row r="111" spans="1:5" ht="15.75" thickBot="1" x14ac:dyDescent="0.3">
      <c r="D111" s="97" t="str">
        <f>IF('SW initial CoS form'!$E307&lt;&gt;"",'SW initial CoS form'!$E307,"")</f>
        <v/>
      </c>
      <c r="E111" s="96" t="s">
        <v>758</v>
      </c>
    </row>
    <row r="112" spans="1:5" x14ac:dyDescent="0.25">
      <c r="A112" t="s">
        <v>794</v>
      </c>
      <c r="B112" s="75" t="b">
        <v>0</v>
      </c>
      <c r="C112" s="59">
        <f>IF(OR(AND($D$113="",$B$100=TRUE),AND($D$113&lt;&gt;"",$B$112=TRUE)),10,0)</f>
        <v>0</v>
      </c>
      <c r="D112" s="277" t="str">
        <f>IF('SW initial CoS form'!$E310&lt;&gt;"",'SW initial CoS form'!$E310,"")</f>
        <v>University of Oxford</v>
      </c>
      <c r="E112" s="93" t="s">
        <v>760</v>
      </c>
    </row>
    <row r="113" spans="1:14" x14ac:dyDescent="0.25">
      <c r="D113" s="278" t="str">
        <f>IF('SW initial CoS form'!$E311&lt;&gt;"",'SW initial CoS form'!$E311,"")</f>
        <v/>
      </c>
      <c r="E113" s="96" t="s">
        <v>761</v>
      </c>
    </row>
    <row r="114" spans="1:14" x14ac:dyDescent="0.25">
      <c r="D114" s="278" t="str">
        <f>IF('SW initial CoS form'!$E312&lt;&gt;"",'SW initial CoS form'!$E312,"")</f>
        <v/>
      </c>
      <c r="E114" s="96" t="s">
        <v>762</v>
      </c>
    </row>
    <row r="115" spans="1:14" x14ac:dyDescent="0.25">
      <c r="D115" s="278" t="str">
        <f>IF('SW initial CoS form'!$E313&lt;&gt;"",'SW initial CoS form'!$E313,"")</f>
        <v/>
      </c>
      <c r="E115" s="96" t="s">
        <v>756</v>
      </c>
    </row>
    <row r="116" spans="1:14" x14ac:dyDescent="0.25">
      <c r="D116" s="278" t="str">
        <f>IF('SW initial CoS form'!$E314&lt;&gt;"",'SW initial CoS form'!$E314,"")</f>
        <v/>
      </c>
      <c r="E116" s="96" t="s">
        <v>788</v>
      </c>
    </row>
    <row r="117" spans="1:14" ht="15.75" thickBot="1" x14ac:dyDescent="0.3">
      <c r="D117" s="279" t="str">
        <f>IF('SW initial CoS form'!$E315&lt;&gt;"",'SW initial CoS form'!$E315,"")</f>
        <v/>
      </c>
      <c r="E117" s="96" t="s">
        <v>758</v>
      </c>
    </row>
    <row r="118" spans="1:14" s="267" customFormat="1" ht="15.75" thickBot="1" x14ac:dyDescent="0.3">
      <c r="C118" s="284"/>
      <c r="D118" s="288"/>
      <c r="E118" s="287"/>
    </row>
    <row r="119" spans="1:14" s="267" customFormat="1" ht="15.75" thickBot="1" x14ac:dyDescent="0.3">
      <c r="A119" s="962" t="s">
        <v>707</v>
      </c>
      <c r="B119" s="963"/>
      <c r="C119" s="963"/>
      <c r="D119" s="963"/>
      <c r="E119" s="963"/>
      <c r="F119" s="963"/>
      <c r="G119" s="963"/>
      <c r="H119" s="963"/>
      <c r="I119" s="963"/>
      <c r="J119" s="963"/>
      <c r="K119" s="963"/>
      <c r="L119" s="963"/>
      <c r="M119" s="963"/>
      <c r="N119" s="964"/>
    </row>
    <row r="120" spans="1:14" s="267" customFormat="1" ht="15.75" thickBot="1" x14ac:dyDescent="0.3">
      <c r="C120" s="284"/>
      <c r="D120" s="288"/>
      <c r="E120" s="287"/>
    </row>
    <row r="121" spans="1:14" x14ac:dyDescent="0.25">
      <c r="A121" t="s">
        <v>795</v>
      </c>
      <c r="B121" s="75" t="b">
        <v>0</v>
      </c>
      <c r="C121" s="59">
        <f>IF(OR(AND($D$121="",$B$100=TRUE),AND($D$121&lt;&gt;"",$B$121=TRUE)),10,0)</f>
        <v>0</v>
      </c>
      <c r="D121" s="1039" t="str">
        <f>IF('SW initial CoS form'!$A318&lt;&gt;"",'SW initial CoS form'!$A318,"")</f>
        <v/>
      </c>
      <c r="E121" s="1040"/>
      <c r="F121" s="1040"/>
      <c r="G121" s="1040"/>
      <c r="H121" s="1040"/>
      <c r="I121" s="1040"/>
      <c r="J121" s="1040"/>
      <c r="K121" s="1040"/>
      <c r="L121" s="1040"/>
      <c r="M121" s="1041"/>
    </row>
    <row r="122" spans="1:14" x14ac:dyDescent="0.25">
      <c r="D122" s="1042"/>
      <c r="E122" s="1043"/>
      <c r="F122" s="1043"/>
      <c r="G122" s="1043"/>
      <c r="H122" s="1043"/>
      <c r="I122" s="1043"/>
      <c r="J122" s="1043"/>
      <c r="K122" s="1043"/>
      <c r="L122" s="1043"/>
      <c r="M122" s="1044"/>
    </row>
    <row r="123" spans="1:14" x14ac:dyDescent="0.25">
      <c r="D123" s="1042"/>
      <c r="E123" s="1043"/>
      <c r="F123" s="1043"/>
      <c r="G123" s="1043"/>
      <c r="H123" s="1043"/>
      <c r="I123" s="1043"/>
      <c r="J123" s="1043"/>
      <c r="K123" s="1043"/>
      <c r="L123" s="1043"/>
      <c r="M123" s="1044"/>
    </row>
    <row r="124" spans="1:14" x14ac:dyDescent="0.25">
      <c r="D124" s="1042"/>
      <c r="E124" s="1043"/>
      <c r="F124" s="1043"/>
      <c r="G124" s="1043"/>
      <c r="H124" s="1043"/>
      <c r="I124" s="1043"/>
      <c r="J124" s="1043"/>
      <c r="K124" s="1043"/>
      <c r="L124" s="1043"/>
      <c r="M124" s="1044"/>
    </row>
    <row r="125" spans="1:14" x14ac:dyDescent="0.25">
      <c r="D125" s="1042"/>
      <c r="E125" s="1043"/>
      <c r="F125" s="1043"/>
      <c r="G125" s="1043"/>
      <c r="H125" s="1043"/>
      <c r="I125" s="1043"/>
      <c r="J125" s="1043"/>
      <c r="K125" s="1043"/>
      <c r="L125" s="1043"/>
      <c r="M125" s="1044"/>
    </row>
    <row r="126" spans="1:14" x14ac:dyDescent="0.25">
      <c r="D126" s="1042"/>
      <c r="E126" s="1043"/>
      <c r="F126" s="1043"/>
      <c r="G126" s="1043"/>
      <c r="H126" s="1043"/>
      <c r="I126" s="1043"/>
      <c r="J126" s="1043"/>
      <c r="K126" s="1043"/>
      <c r="L126" s="1043"/>
      <c r="M126" s="1044"/>
    </row>
    <row r="127" spans="1:14" x14ac:dyDescent="0.25">
      <c r="D127" s="1042"/>
      <c r="E127" s="1043"/>
      <c r="F127" s="1043"/>
      <c r="G127" s="1043"/>
      <c r="H127" s="1043"/>
      <c r="I127" s="1043"/>
      <c r="J127" s="1043"/>
      <c r="K127" s="1043"/>
      <c r="L127" s="1043"/>
      <c r="M127" s="1044"/>
    </row>
    <row r="128" spans="1:14" ht="15.75" thickBot="1" x14ac:dyDescent="0.3">
      <c r="D128" s="1045"/>
      <c r="E128" s="1046"/>
      <c r="F128" s="1046"/>
      <c r="G128" s="1046"/>
      <c r="H128" s="1046"/>
      <c r="I128" s="1046"/>
      <c r="J128" s="1046"/>
      <c r="K128" s="1046"/>
      <c r="L128" s="1046"/>
      <c r="M128" s="1047"/>
    </row>
    <row r="129" spans="1:15" ht="15.75" thickBot="1" x14ac:dyDescent="0.3"/>
    <row r="130" spans="1:15" ht="15.75" thickBot="1" x14ac:dyDescent="0.3">
      <c r="C130" s="134" t="s">
        <v>799</v>
      </c>
      <c r="D130" s="1048"/>
      <c r="E130" s="1049"/>
      <c r="F130" s="135" t="s">
        <v>800</v>
      </c>
      <c r="G130" s="1026" t="s">
        <v>893</v>
      </c>
      <c r="H130" s="1026"/>
      <c r="I130" s="1026"/>
      <c r="J130" s="1026"/>
      <c r="K130" s="1026"/>
      <c r="L130" s="232" t="s">
        <v>379</v>
      </c>
      <c r="M130" s="136"/>
    </row>
    <row r="131" spans="1:15" x14ac:dyDescent="0.25">
      <c r="A131" s="138"/>
      <c r="B131" s="138"/>
      <c r="C131" s="134"/>
      <c r="D131" s="210"/>
      <c r="E131" s="210"/>
      <c r="F131" s="135"/>
      <c r="G131" s="209"/>
      <c r="H131" s="209"/>
      <c r="I131" s="209"/>
      <c r="J131" s="209"/>
      <c r="K131" s="209"/>
      <c r="L131" s="209"/>
      <c r="M131" s="136"/>
      <c r="N131" s="138"/>
      <c r="O131" s="138"/>
    </row>
    <row r="132" spans="1:15" ht="15.75" thickBot="1" x14ac:dyDescent="0.3">
      <c r="A132" s="136"/>
      <c r="B132" s="136"/>
      <c r="C132" s="136"/>
      <c r="D132" s="136"/>
      <c r="E132" s="136"/>
      <c r="F132" s="136"/>
      <c r="G132" s="136"/>
      <c r="H132" s="136"/>
      <c r="I132" s="136"/>
      <c r="J132" s="136"/>
      <c r="K132" s="136"/>
      <c r="L132" s="136"/>
      <c r="M132" s="136"/>
      <c r="N132" s="138"/>
      <c r="O132" s="138"/>
    </row>
    <row r="133" spans="1:15" ht="15.75" thickBot="1" x14ac:dyDescent="0.3">
      <c r="A133" t="s">
        <v>801</v>
      </c>
      <c r="B133" s="75" t="b">
        <v>0</v>
      </c>
      <c r="C133" s="59">
        <f>IF(AND($B$133=TRUE,$D$133&lt;&gt;"")=TRUE,10,0)</f>
        <v>0</v>
      </c>
      <c r="D133" s="1036" t="str">
        <f>IF('SW initial CoS form'!$B$326&lt;&gt;"",'SW initial CoS form'!$B$326,"")</f>
        <v/>
      </c>
      <c r="E133" s="1037"/>
      <c r="F133" s="1037"/>
      <c r="G133" s="1037"/>
      <c r="H133" s="1037"/>
      <c r="I133" s="1037"/>
      <c r="J133" s="1037"/>
      <c r="K133" s="1037"/>
      <c r="L133" s="1037"/>
      <c r="M133" s="1038"/>
    </row>
    <row r="134" spans="1:15" ht="15.75" thickBot="1" x14ac:dyDescent="0.3">
      <c r="D134" s="139" t="str">
        <f>IF('SW initial CoS form'!$B$327&lt;&gt;"",'SW initial CoS form'!$B$327,"")</f>
        <v/>
      </c>
      <c r="E134" s="138"/>
      <c r="F134" s="138"/>
      <c r="G134" s="138"/>
      <c r="H134" s="138"/>
      <c r="I134" s="138"/>
      <c r="J134" s="138"/>
      <c r="K134" s="138"/>
      <c r="L134" s="138"/>
      <c r="M134" s="138"/>
    </row>
    <row r="135" spans="1:15" x14ac:dyDescent="0.25">
      <c r="A135" t="s">
        <v>802</v>
      </c>
      <c r="B135" s="75" t="b">
        <v>0</v>
      </c>
      <c r="C135" s="59">
        <f>IF(AND($B$135=TRUE,$D$135&lt;&gt;"")=TRUE,10,0)</f>
        <v>0</v>
      </c>
      <c r="D135" s="1018" t="str">
        <f>IF('SW initial CoS form'!$A$330&lt;&gt;"",'SW initial CoS form'!$A$330,"")</f>
        <v/>
      </c>
      <c r="E135" s="1019"/>
      <c r="F135" s="1019"/>
      <c r="G135" s="1019"/>
      <c r="H135" s="1019"/>
      <c r="I135" s="1019"/>
      <c r="J135" s="1019"/>
      <c r="K135" s="1019"/>
      <c r="L135" s="1019"/>
      <c r="M135" s="1020"/>
    </row>
    <row r="136" spans="1:15" x14ac:dyDescent="0.25">
      <c r="D136" s="1021"/>
      <c r="E136" s="1004"/>
      <c r="F136" s="1004"/>
      <c r="G136" s="1004"/>
      <c r="H136" s="1004"/>
      <c r="I136" s="1004"/>
      <c r="J136" s="1004"/>
      <c r="K136" s="1004"/>
      <c r="L136" s="1004"/>
      <c r="M136" s="1022"/>
    </row>
    <row r="137" spans="1:15" x14ac:dyDescent="0.25">
      <c r="D137" s="1021"/>
      <c r="E137" s="1004"/>
      <c r="F137" s="1004"/>
      <c r="G137" s="1004"/>
      <c r="H137" s="1004"/>
      <c r="I137" s="1004"/>
      <c r="J137" s="1004"/>
      <c r="K137" s="1004"/>
      <c r="L137" s="1004"/>
      <c r="M137" s="1022"/>
    </row>
    <row r="138" spans="1:15" x14ac:dyDescent="0.25">
      <c r="D138" s="1021"/>
      <c r="E138" s="1004"/>
      <c r="F138" s="1004"/>
      <c r="G138" s="1004"/>
      <c r="H138" s="1004"/>
      <c r="I138" s="1004"/>
      <c r="J138" s="1004"/>
      <c r="K138" s="1004"/>
      <c r="L138" s="1004"/>
      <c r="M138" s="1022"/>
    </row>
    <row r="139" spans="1:15" x14ac:dyDescent="0.25">
      <c r="D139" s="1021"/>
      <c r="E139" s="1004"/>
      <c r="F139" s="1004"/>
      <c r="G139" s="1004"/>
      <c r="H139" s="1004"/>
      <c r="I139" s="1004"/>
      <c r="J139" s="1004"/>
      <c r="K139" s="1004"/>
      <c r="L139" s="1004"/>
      <c r="M139" s="1022"/>
    </row>
    <row r="140" spans="1:15" x14ac:dyDescent="0.25">
      <c r="D140" s="1021"/>
      <c r="E140" s="1004"/>
      <c r="F140" s="1004"/>
      <c r="G140" s="1004"/>
      <c r="H140" s="1004"/>
      <c r="I140" s="1004"/>
      <c r="J140" s="1004"/>
      <c r="K140" s="1004"/>
      <c r="L140" s="1004"/>
      <c r="M140" s="1022"/>
    </row>
    <row r="141" spans="1:15" x14ac:dyDescent="0.25">
      <c r="D141" s="1021"/>
      <c r="E141" s="1004"/>
      <c r="F141" s="1004"/>
      <c r="G141" s="1004"/>
      <c r="H141" s="1004"/>
      <c r="I141" s="1004"/>
      <c r="J141" s="1004"/>
      <c r="K141" s="1004"/>
      <c r="L141" s="1004"/>
      <c r="M141" s="1022"/>
    </row>
    <row r="142" spans="1:15" ht="15.75" thickBot="1" x14ac:dyDescent="0.3">
      <c r="D142" s="1023"/>
      <c r="E142" s="1024"/>
      <c r="F142" s="1024"/>
      <c r="G142" s="1024"/>
      <c r="H142" s="1024"/>
      <c r="I142" s="1024"/>
      <c r="J142" s="1024"/>
      <c r="K142" s="1024"/>
      <c r="L142" s="1024"/>
      <c r="M142" s="1025"/>
    </row>
    <row r="144" spans="1:15" x14ac:dyDescent="0.25">
      <c r="A144" t="s">
        <v>803</v>
      </c>
      <c r="B144" s="75" t="b">
        <v>0</v>
      </c>
      <c r="C144" s="59">
        <f>IF($B$144=TRUE,10,0)</f>
        <v>0</v>
      </c>
    </row>
    <row r="145" spans="1:13" x14ac:dyDescent="0.25">
      <c r="A145" s="999" t="s">
        <v>805</v>
      </c>
      <c r="B145" s="75" t="b">
        <v>0</v>
      </c>
      <c r="C145" s="59">
        <f>IF($B$145=TRUE,10,0)</f>
        <v>0</v>
      </c>
      <c r="D145" s="1000" t="str">
        <f>IF('SW initial CoS form'!$A$358&lt;&gt;"",'SW initial CoS form'!$A$358,"")</f>
        <v/>
      </c>
      <c r="E145" s="1001"/>
      <c r="F145" s="1001"/>
      <c r="G145" s="1001"/>
      <c r="H145" s="1001"/>
      <c r="I145" s="1001"/>
      <c r="J145" s="1001"/>
      <c r="K145" s="1001"/>
      <c r="L145" s="1001"/>
      <c r="M145" s="1002"/>
    </row>
    <row r="146" spans="1:13" x14ac:dyDescent="0.25">
      <c r="A146" s="999"/>
      <c r="D146" s="1003"/>
      <c r="E146" s="1004"/>
      <c r="F146" s="1004"/>
      <c r="G146" s="1004"/>
      <c r="H146" s="1004"/>
      <c r="I146" s="1004"/>
      <c r="J146" s="1004"/>
      <c r="K146" s="1004"/>
      <c r="L146" s="1004"/>
      <c r="M146" s="1005"/>
    </row>
    <row r="147" spans="1:13" x14ac:dyDescent="0.25">
      <c r="D147" s="1006"/>
      <c r="E147" s="1007"/>
      <c r="F147" s="1007"/>
      <c r="G147" s="1007"/>
      <c r="H147" s="1007"/>
      <c r="I147" s="1007"/>
      <c r="J147" s="1007"/>
      <c r="K147" s="1007"/>
      <c r="L147" s="1007"/>
      <c r="M147" s="1008"/>
    </row>
    <row r="150" spans="1:13" x14ac:dyDescent="0.25">
      <c r="A150" t="s">
        <v>807</v>
      </c>
      <c r="B150" s="75" t="b">
        <v>0</v>
      </c>
      <c r="C150" s="59">
        <f>IF(AND($B$150=TRUE,$D$150&lt;&gt;"")=TRUE,10,0)</f>
        <v>0</v>
      </c>
      <c r="D150" s="246" t="str">
        <f>IF('SW initial CoS form'!$E$363&lt;&gt;"",'SW initial CoS form'!$E$363,"")</f>
        <v/>
      </c>
    </row>
    <row r="151" spans="1:13" ht="15.75" thickBot="1" x14ac:dyDescent="0.3">
      <c r="B151" s="231"/>
      <c r="C151" s="231"/>
      <c r="D151" s="140"/>
    </row>
    <row r="152" spans="1:13" ht="15.75" thickBot="1" x14ac:dyDescent="0.3">
      <c r="A152" t="s">
        <v>925</v>
      </c>
      <c r="B152" s="232" t="s">
        <v>379</v>
      </c>
      <c r="C152" s="59">
        <f>IF($B$152="Yes",10,0)</f>
        <v>0</v>
      </c>
      <c r="D152" s="233" t="s">
        <v>800</v>
      </c>
    </row>
    <row r="153" spans="1:13" ht="15.75" thickBot="1" x14ac:dyDescent="0.3">
      <c r="B153" s="231"/>
      <c r="C153" s="231"/>
      <c r="D153" s="140"/>
    </row>
    <row r="154" spans="1:13" ht="15.75" thickBot="1" x14ac:dyDescent="0.3">
      <c r="A154" s="135" t="s">
        <v>799</v>
      </c>
      <c r="B154" s="1014" t="str">
        <f>IF($D$130="","please enter SOC code above",$D$130)</f>
        <v>please enter SOC code above</v>
      </c>
      <c r="C154" s="1015"/>
      <c r="D154" s="1016"/>
      <c r="E154" s="233" t="s">
        <v>800</v>
      </c>
    </row>
    <row r="155" spans="1:13" ht="15.75" thickBot="1" x14ac:dyDescent="0.3">
      <c r="A155" s="241" t="s">
        <v>932</v>
      </c>
      <c r="B155" s="974" t="str">
        <f>IF($L$130="- select -","please select above",$L$130)</f>
        <v>please select above</v>
      </c>
      <c r="C155" s="975"/>
      <c r="D155" s="233" t="s">
        <v>800</v>
      </c>
      <c r="E155" s="241"/>
    </row>
    <row r="156" spans="1:13" x14ac:dyDescent="0.25">
      <c r="A156" s="243"/>
      <c r="B156" s="242"/>
      <c r="C156" s="242"/>
      <c r="D156" s="244"/>
      <c r="E156" s="243"/>
      <c r="F156" s="38"/>
    </row>
    <row r="157" spans="1:13" x14ac:dyDescent="0.25">
      <c r="A157" t="s">
        <v>926</v>
      </c>
      <c r="B157" s="245" t="str">
        <f>'SW initial CoS form'!$J$376</f>
        <v>- select -</v>
      </c>
      <c r="C157" s="231"/>
      <c r="D157" s="394" t="s">
        <v>1056</v>
      </c>
    </row>
    <row r="158" spans="1:13" x14ac:dyDescent="0.25">
      <c r="A158" t="s">
        <v>927</v>
      </c>
      <c r="B158" s="1009" t="str">
        <f>IF('SW initial CoS form'!$D$378="","",'SW initial CoS form'!$D$378)</f>
        <v/>
      </c>
      <c r="C158" s="1010"/>
      <c r="D158" s="1010"/>
      <c r="E158" s="1010"/>
      <c r="F158" s="1010"/>
      <c r="G158" s="1011"/>
    </row>
    <row r="159" spans="1:13" x14ac:dyDescent="0.25">
      <c r="A159" s="146" t="s">
        <v>1092</v>
      </c>
      <c r="B159" s="1012" t="str">
        <f ca="1">IF('SW initial CoS form'!$D$167&lt;&gt;"",IF(ISERROR(DATEDIF(IF('SW initial CoS form'!$D$593&lt;&gt;"",'SW initial CoS form'!$D$593,TODAY()),DATE(YEAR('SW initial CoS form'!$D$167)+26,MONTH('SW initial CoS form'!$D$167),DAY('SW initial CoS form'!$D$167)),"D")),"Applicant is over 26","Applicant will turn 26 on " &amp; TEXT(DATE(YEAR('SW initial CoS form'!$D$167)+26,MONTH('SW initial CoS form'!$D$167),DAY('SW initial CoS form'!$D$167)),"dd mmm yyyy")),"DoB not provided")</f>
        <v>DoB not provided</v>
      </c>
      <c r="C159" s="1012"/>
      <c r="D159" s="1012"/>
      <c r="E159" s="1013" t="str">
        <f ca="1">IF('SW initial CoS form'!$D$167="","",IF(LEFT($B$159,3)&lt;&gt;"App","",IF(DATEDIF(IF('SW initial CoS form'!$D$593&lt;&gt;"",'SW initial CoS form'!$D$593,TODAY()),DATE(YEAR('SW initial CoS form'!$D$167)+26,MONTH('SW initial CoS form'!$D$167),DAY('SW initial CoS form'!$D$167)),"D")&gt;=60,"May be a New Entrant if total time does not exceed 4 years","Not practical in this case")))</f>
        <v/>
      </c>
      <c r="F159" s="1013"/>
      <c r="G159" s="1013"/>
      <c r="H159" s="1013"/>
      <c r="I159" s="1013"/>
    </row>
    <row r="160" spans="1:13" ht="15.75" thickBot="1" x14ac:dyDescent="0.3">
      <c r="B160" s="234"/>
      <c r="C160" s="234"/>
      <c r="D160" s="234"/>
      <c r="E160" s="64"/>
      <c r="F160" s="64"/>
      <c r="G160" s="64"/>
      <c r="H160" s="64"/>
      <c r="I160" s="64"/>
    </row>
    <row r="161" spans="1:19" s="267" customFormat="1" ht="15.75" thickBot="1" x14ac:dyDescent="0.3">
      <c r="A161" s="976" t="s">
        <v>708</v>
      </c>
      <c r="B161" s="977"/>
      <c r="C161" s="977"/>
      <c r="D161" s="977"/>
      <c r="E161" s="977"/>
      <c r="F161" s="977"/>
      <c r="G161" s="977"/>
      <c r="H161" s="977"/>
      <c r="I161" s="977"/>
      <c r="J161" s="977"/>
      <c r="K161" s="977"/>
      <c r="L161" s="977"/>
      <c r="M161" s="977"/>
      <c r="N161" s="978"/>
    </row>
    <row r="162" spans="1:19" s="267" customFormat="1" x14ac:dyDescent="0.25">
      <c r="B162" s="234"/>
      <c r="C162" s="234"/>
      <c r="D162" s="234"/>
      <c r="E162" s="64"/>
      <c r="F162" s="64"/>
      <c r="G162" s="64"/>
      <c r="H162" s="64"/>
      <c r="I162" s="64"/>
    </row>
    <row r="163" spans="1:19" x14ac:dyDescent="0.25">
      <c r="A163" s="27" t="s">
        <v>936</v>
      </c>
      <c r="B163" s="254"/>
      <c r="C163" s="254"/>
      <c r="D163" s="255" t="s">
        <v>780</v>
      </c>
      <c r="E163" s="16"/>
      <c r="F163" s="16"/>
      <c r="G163" s="16"/>
      <c r="H163" s="257"/>
      <c r="I163" s="16"/>
      <c r="J163" s="16"/>
      <c r="K163" s="16"/>
      <c r="L163" s="16"/>
      <c r="M163" s="16"/>
      <c r="N163" s="16"/>
      <c r="O163" s="16"/>
      <c r="P163" s="16"/>
      <c r="Q163" s="16"/>
      <c r="R163" s="16"/>
      <c r="S163" s="16"/>
    </row>
    <row r="164" spans="1:19" x14ac:dyDescent="0.25">
      <c r="A164" s="252" t="s">
        <v>1152</v>
      </c>
      <c r="B164" s="253" t="b">
        <v>0</v>
      </c>
      <c r="C164" s="256" t="str">
        <f>IF(AND($B164=TRUE,$D$164=TRUE),10,"")</f>
        <v/>
      </c>
      <c r="D164" s="227" t="b">
        <v>0</v>
      </c>
      <c r="E164" s="16"/>
      <c r="F164" s="16"/>
      <c r="G164" s="16"/>
      <c r="H164" s="16"/>
      <c r="I164" s="16"/>
      <c r="J164" s="16"/>
      <c r="K164" s="16"/>
      <c r="L164" s="16"/>
      <c r="M164" s="16"/>
      <c r="N164" s="16"/>
      <c r="O164" s="16"/>
      <c r="P164" s="16"/>
      <c r="Q164" s="16"/>
      <c r="R164" s="16"/>
      <c r="S164" s="16"/>
    </row>
    <row r="165" spans="1:19" ht="27.75" customHeight="1" x14ac:dyDescent="0.25">
      <c r="A165" s="445" t="s">
        <v>1153</v>
      </c>
      <c r="B165" s="253" t="b">
        <v>0</v>
      </c>
      <c r="C165" s="256" t="str">
        <f t="shared" ref="C165:C167" si="1">IF(AND($B165=TRUE,$D$164=TRUE),10,"")</f>
        <v/>
      </c>
      <c r="D165" s="254"/>
      <c r="E165" s="16"/>
      <c r="F165" s="16"/>
      <c r="G165" s="16"/>
      <c r="H165" s="16"/>
      <c r="I165" s="16"/>
      <c r="J165" s="16"/>
      <c r="K165" s="16"/>
      <c r="L165" s="16"/>
      <c r="M165" s="16"/>
      <c r="N165" s="16"/>
      <c r="O165" s="16"/>
      <c r="P165" s="16"/>
      <c r="Q165" s="16"/>
      <c r="R165" s="16"/>
      <c r="S165" s="16"/>
    </row>
    <row r="166" spans="1:19" x14ac:dyDescent="0.25">
      <c r="A166" s="252" t="s">
        <v>933</v>
      </c>
      <c r="B166" s="253" t="b">
        <v>0</v>
      </c>
      <c r="C166" s="256" t="str">
        <f t="shared" si="1"/>
        <v/>
      </c>
      <c r="D166" s="254"/>
      <c r="E166" s="16"/>
      <c r="F166" s="16"/>
      <c r="G166" s="16"/>
      <c r="H166" s="16"/>
      <c r="I166" s="16"/>
      <c r="J166" s="16"/>
      <c r="K166" s="16"/>
      <c r="L166" s="16"/>
      <c r="M166" s="16"/>
      <c r="N166" s="16"/>
      <c r="O166" s="16"/>
      <c r="P166" s="16"/>
      <c r="Q166" s="16"/>
      <c r="R166" s="16"/>
      <c r="S166" s="16"/>
    </row>
    <row r="167" spans="1:19" x14ac:dyDescent="0.25">
      <c r="A167" s="252" t="s">
        <v>808</v>
      </c>
      <c r="B167" s="253" t="b">
        <v>0</v>
      </c>
      <c r="C167" s="256" t="str">
        <f t="shared" si="1"/>
        <v/>
      </c>
      <c r="D167" s="254"/>
      <c r="E167" s="16"/>
      <c r="F167" s="16"/>
      <c r="G167" s="16"/>
      <c r="H167" s="16"/>
      <c r="I167" s="16"/>
      <c r="J167" s="16"/>
      <c r="K167" s="16"/>
      <c r="L167" s="16"/>
      <c r="M167" s="16"/>
      <c r="N167" s="16"/>
      <c r="O167" s="16"/>
      <c r="P167" s="16"/>
      <c r="Q167" s="16"/>
      <c r="R167" s="16"/>
      <c r="S167" s="16"/>
    </row>
    <row r="169" spans="1:19" x14ac:dyDescent="0.25">
      <c r="A169" s="35" t="s">
        <v>937</v>
      </c>
      <c r="D169" s="125" t="s">
        <v>780</v>
      </c>
    </row>
    <row r="170" spans="1:19" x14ac:dyDescent="0.25">
      <c r="A170" s="41" t="s">
        <v>811</v>
      </c>
      <c r="B170" s="141" t="b">
        <v>0</v>
      </c>
      <c r="C170" s="59" t="str">
        <f>IF(AND($B$170=TRUE,$D$170=TRUE),10,"")</f>
        <v/>
      </c>
      <c r="D170" s="75" t="b">
        <v>0</v>
      </c>
    </row>
    <row r="171" spans="1:19" x14ac:dyDescent="0.25">
      <c r="A171" s="41" t="s">
        <v>812</v>
      </c>
      <c r="B171" s="141" t="b">
        <v>0</v>
      </c>
      <c r="C171" s="59" t="str">
        <f>IF(AND($B$171=TRUE,$D$170=TRUE),10,"")</f>
        <v/>
      </c>
    </row>
    <row r="173" spans="1:19" x14ac:dyDescent="0.25">
      <c r="A173" s="35" t="s">
        <v>939</v>
      </c>
      <c r="B173" s="75" t="b">
        <v>0</v>
      </c>
      <c r="C173" s="59">
        <f>IF(AND($B$173=TRUE,$D$173&lt;&gt;"",$D$173&lt;&gt;"- select -"),10,0)</f>
        <v>0</v>
      </c>
      <c r="D173" t="str">
        <f>IF('SW initial CoS form'!$I$398="","",'SW initial CoS form'!$I$398)</f>
        <v>- select -</v>
      </c>
      <c r="E173" s="142" t="str">
        <f>IF($D$173="Yes","NB: email student team when CoS issued!","")</f>
        <v/>
      </c>
    </row>
    <row r="174" spans="1:19" x14ac:dyDescent="0.25">
      <c r="A174" t="s">
        <v>1082</v>
      </c>
      <c r="B174" s="75" t="b">
        <v>0</v>
      </c>
      <c r="C174" s="59">
        <f>IF(AND($B$174=TRUE,$D$174&lt;&gt;"",$D$174&lt;&gt;"- select -"),10,0)</f>
        <v>0</v>
      </c>
      <c r="D174" t="str">
        <f>IF('SW initial CoS form'!$J$406="","",'SW initial CoS form'!$J$406)</f>
        <v>- select -</v>
      </c>
      <c r="E174" s="965" t="str">
        <f>IF('SW initial CoS form'!$A$411="","",'SW initial CoS form'!$A$411)</f>
        <v/>
      </c>
      <c r="F174" s="966"/>
      <c r="G174" s="966"/>
      <c r="H174" s="966"/>
      <c r="I174" s="966"/>
      <c r="J174" s="966"/>
      <c r="K174" s="966"/>
      <c r="L174" s="966"/>
      <c r="M174" s="966"/>
      <c r="N174" s="967"/>
    </row>
    <row r="175" spans="1:19" x14ac:dyDescent="0.25">
      <c r="E175" s="968"/>
      <c r="F175" s="969"/>
      <c r="G175" s="969"/>
      <c r="H175" s="969"/>
      <c r="I175" s="969"/>
      <c r="J175" s="969"/>
      <c r="K175" s="969"/>
      <c r="L175" s="969"/>
      <c r="M175" s="969"/>
      <c r="N175" s="970"/>
    </row>
    <row r="176" spans="1:19" x14ac:dyDescent="0.25">
      <c r="E176" s="968"/>
      <c r="F176" s="969"/>
      <c r="G176" s="969"/>
      <c r="H176" s="969"/>
      <c r="I176" s="969"/>
      <c r="J176" s="969"/>
      <c r="K176" s="969"/>
      <c r="L176" s="969"/>
      <c r="M176" s="969"/>
      <c r="N176" s="970"/>
    </row>
    <row r="177" spans="1:14" x14ac:dyDescent="0.25">
      <c r="E177" s="968"/>
      <c r="F177" s="969"/>
      <c r="G177" s="969"/>
      <c r="H177" s="969"/>
      <c r="I177" s="969"/>
      <c r="J177" s="969"/>
      <c r="K177" s="969"/>
      <c r="L177" s="969"/>
      <c r="M177" s="969"/>
      <c r="N177" s="970"/>
    </row>
    <row r="178" spans="1:14" x14ac:dyDescent="0.25">
      <c r="E178" s="971"/>
      <c r="F178" s="972"/>
      <c r="G178" s="972"/>
      <c r="H178" s="972"/>
      <c r="I178" s="972"/>
      <c r="J178" s="972"/>
      <c r="K178" s="972"/>
      <c r="L178" s="972"/>
      <c r="M178" s="972"/>
      <c r="N178" s="973"/>
    </row>
    <row r="180" spans="1:14" s="267" customFormat="1" x14ac:dyDescent="0.25">
      <c r="A180" s="267" t="s">
        <v>989</v>
      </c>
      <c r="B180" s="273" t="b">
        <v>0</v>
      </c>
      <c r="C180" s="59">
        <f>IF($B$180=TRUE,10,0)</f>
        <v>0</v>
      </c>
    </row>
    <row r="181" spans="1:14" s="267" customFormat="1" ht="15.75" thickBot="1" x14ac:dyDescent="0.3"/>
    <row r="182" spans="1:14" ht="15.75" thickBot="1" x14ac:dyDescent="0.3">
      <c r="A182" s="962" t="s">
        <v>809</v>
      </c>
      <c r="B182" s="963"/>
      <c r="C182" s="963"/>
      <c r="D182" s="963"/>
      <c r="E182" s="963"/>
      <c r="F182" s="963"/>
      <c r="G182" s="963"/>
      <c r="H182" s="963"/>
      <c r="I182" s="963"/>
      <c r="J182" s="963"/>
      <c r="K182" s="963"/>
      <c r="L182" s="963"/>
      <c r="M182" s="963"/>
      <c r="N182" s="964"/>
    </row>
    <row r="184" spans="1:14" x14ac:dyDescent="0.25">
      <c r="A184" t="s">
        <v>818</v>
      </c>
      <c r="B184" s="75" t="b">
        <v>0</v>
      </c>
      <c r="C184" s="59">
        <f>IF($B$184=TRUE,10,0)</f>
        <v>0</v>
      </c>
    </row>
    <row r="185" spans="1:14" x14ac:dyDescent="0.25">
      <c r="A185" t="s">
        <v>819</v>
      </c>
      <c r="B185" s="75" t="b">
        <v>0</v>
      </c>
      <c r="C185" s="59">
        <f>IF($B$185=TRUE,10,0)</f>
        <v>0</v>
      </c>
    </row>
    <row r="186" spans="1:14" x14ac:dyDescent="0.25">
      <c r="A186" t="s">
        <v>820</v>
      </c>
      <c r="B186" s="75" t="b">
        <v>0</v>
      </c>
      <c r="C186" s="59">
        <f>IF($B$186=TRUE,10,0)</f>
        <v>0</v>
      </c>
    </row>
    <row r="188" spans="1:14" ht="15.75" thickBot="1" x14ac:dyDescent="0.3">
      <c r="A188" s="35" t="s">
        <v>828</v>
      </c>
      <c r="B188" s="125" t="s">
        <v>781</v>
      </c>
      <c r="C188" s="125" t="s">
        <v>780</v>
      </c>
      <c r="D188" s="57"/>
    </row>
    <row r="189" spans="1:14" ht="15.75" thickBot="1" x14ac:dyDescent="0.3">
      <c r="A189" t="s">
        <v>829</v>
      </c>
      <c r="B189" s="161" t="b">
        <v>0</v>
      </c>
      <c r="C189" s="162" t="b">
        <v>0</v>
      </c>
      <c r="D189" s="59">
        <f>IF(AND($B189=TRUE,$C189=TRUE),10,0)</f>
        <v>0</v>
      </c>
    </row>
    <row r="190" spans="1:14" ht="15.75" thickBot="1" x14ac:dyDescent="0.3">
      <c r="A190" t="s">
        <v>832</v>
      </c>
      <c r="B190" s="161" t="b">
        <v>0</v>
      </c>
      <c r="C190" s="162" t="b">
        <v>0</v>
      </c>
      <c r="D190" s="59">
        <f>IF($C190=TRUE,10,0)</f>
        <v>0</v>
      </c>
    </row>
    <row r="191" spans="1:14" ht="15.75" thickBot="1" x14ac:dyDescent="0.3">
      <c r="A191" s="268" t="s">
        <v>831</v>
      </c>
      <c r="B191" s="301" t="b">
        <v>0</v>
      </c>
      <c r="C191" s="162" t="b">
        <v>0</v>
      </c>
      <c r="D191" s="59">
        <f>IF(AND($B191=TRUE,$C191=TRUE),10,0)</f>
        <v>0</v>
      </c>
    </row>
    <row r="192" spans="1:14" ht="15.75" thickBot="1" x14ac:dyDescent="0.3">
      <c r="A192" t="s">
        <v>830</v>
      </c>
      <c r="B192" s="161" t="b">
        <v>0</v>
      </c>
      <c r="C192" s="162" t="b">
        <v>0</v>
      </c>
      <c r="D192" s="59">
        <f>IF(AND($B192=TRUE,$C192=TRUE),10,0)</f>
        <v>0</v>
      </c>
    </row>
    <row r="193" spans="1:14" ht="15.75" thickBot="1" x14ac:dyDescent="0.3">
      <c r="A193" t="s">
        <v>834</v>
      </c>
      <c r="B193" s="161" t="b">
        <v>0</v>
      </c>
      <c r="C193" s="162" t="b">
        <v>0</v>
      </c>
      <c r="D193" s="59">
        <f>IF(AND($B193=TRUE,$C193=TRUE),10,0)</f>
        <v>0</v>
      </c>
    </row>
    <row r="194" spans="1:14" s="267" customFormat="1" ht="15.75" thickBot="1" x14ac:dyDescent="0.3"/>
    <row r="195" spans="1:14" s="267" customFormat="1" ht="15.75" thickBot="1" x14ac:dyDescent="0.3">
      <c r="A195" s="962" t="s">
        <v>814</v>
      </c>
      <c r="B195" s="963"/>
      <c r="C195" s="963"/>
      <c r="D195" s="963"/>
      <c r="E195" s="963"/>
      <c r="F195" s="963"/>
      <c r="G195" s="963"/>
      <c r="H195" s="963"/>
      <c r="I195" s="963"/>
      <c r="J195" s="963"/>
      <c r="K195" s="963"/>
      <c r="L195" s="963"/>
      <c r="M195" s="963"/>
      <c r="N195" s="964"/>
    </row>
    <row r="196" spans="1:14" s="267" customFormat="1" ht="15.75" thickBot="1" x14ac:dyDescent="0.3"/>
    <row r="197" spans="1:14" ht="15.75" thickBot="1" x14ac:dyDescent="0.3">
      <c r="A197" t="s">
        <v>835</v>
      </c>
      <c r="B197" s="161" t="b">
        <v>0</v>
      </c>
      <c r="C197" s="162" t="b">
        <v>0</v>
      </c>
      <c r="D197" s="59">
        <f>IF($C197=TRUE,10,0)</f>
        <v>0</v>
      </c>
    </row>
    <row r="198" spans="1:14" ht="15.75" thickBot="1" x14ac:dyDescent="0.3">
      <c r="A198" t="s">
        <v>836</v>
      </c>
      <c r="B198" s="161" t="b">
        <v>0</v>
      </c>
      <c r="C198" s="162" t="b">
        <v>0</v>
      </c>
      <c r="D198" s="59">
        <f>IF(AND($B198=TRUE,$C198=TRUE),10,0)</f>
        <v>0</v>
      </c>
    </row>
    <row r="199" spans="1:14" s="267" customFormat="1" ht="15.75" thickBot="1" x14ac:dyDescent="0.3">
      <c r="A199" s="267" t="s">
        <v>1022</v>
      </c>
      <c r="B199" s="161" t="b">
        <v>0</v>
      </c>
      <c r="C199" s="162" t="b">
        <v>0</v>
      </c>
      <c r="D199" s="59">
        <f>IF(OR($C199=TRUE,'SW initial CoS form'!$A$236&lt;&gt;""),10,0)</f>
        <v>0</v>
      </c>
      <c r="E199" s="267" t="str">
        <f>'SW initial CoS form'!$A$236</f>
        <v/>
      </c>
    </row>
    <row r="200" spans="1:14" ht="15.75" thickBot="1" x14ac:dyDescent="0.3">
      <c r="A200" t="s">
        <v>837</v>
      </c>
      <c r="B200" s="161" t="b">
        <v>0</v>
      </c>
      <c r="C200" s="162" t="b">
        <v>0</v>
      </c>
      <c r="D200" s="59">
        <f>IF(OR($B$164=FALSE,$C200=TRUE),10,0)</f>
        <v>10</v>
      </c>
      <c r="E200" s="196"/>
    </row>
    <row r="201" spans="1:14" ht="15.75" thickBot="1" x14ac:dyDescent="0.3">
      <c r="A201" t="s">
        <v>838</v>
      </c>
      <c r="B201" s="161" t="b">
        <v>0</v>
      </c>
      <c r="C201" s="162" t="b">
        <v>0</v>
      </c>
      <c r="D201" s="59">
        <f>IF(OR($B$164=FALSE,$C201=TRUE),10,0)</f>
        <v>10</v>
      </c>
      <c r="E201" s="196"/>
    </row>
    <row r="204" spans="1:14" x14ac:dyDescent="0.25">
      <c r="A204" s="137"/>
      <c r="B204" s="137"/>
      <c r="C204" s="137"/>
      <c r="D204" s="137"/>
      <c r="E204" s="137"/>
      <c r="F204" s="137"/>
      <c r="G204" s="137"/>
      <c r="H204" s="137"/>
      <c r="I204" s="137"/>
      <c r="J204" s="137"/>
    </row>
    <row r="205" spans="1:14" ht="15.75" thickBot="1" x14ac:dyDescent="0.3">
      <c r="A205" s="137"/>
      <c r="B205" s="125" t="s">
        <v>780</v>
      </c>
      <c r="D205" s="126" t="s">
        <v>781</v>
      </c>
      <c r="E205" s="137"/>
      <c r="F205" s="137"/>
      <c r="G205" s="137"/>
      <c r="H205" s="137"/>
      <c r="I205" s="137"/>
      <c r="J205" s="137"/>
    </row>
    <row r="206" spans="1:14" ht="15.75" thickBot="1" x14ac:dyDescent="0.3">
      <c r="A206" t="s">
        <v>854</v>
      </c>
      <c r="B206" s="172" t="b">
        <v>0</v>
      </c>
      <c r="C206" s="59">
        <f>IF($B$206=TRUE,10,0)</f>
        <v>0</v>
      </c>
      <c r="D206" s="173" t="b">
        <v>0</v>
      </c>
    </row>
    <row r="207" spans="1:14" s="267" customFormat="1" ht="15.75" thickBot="1" x14ac:dyDescent="0.3"/>
    <row r="208" spans="1:14" s="267" customFormat="1" ht="15.75" thickBot="1" x14ac:dyDescent="0.3">
      <c r="A208" s="962" t="s">
        <v>815</v>
      </c>
      <c r="B208" s="963"/>
      <c r="C208" s="963"/>
      <c r="D208" s="963"/>
      <c r="E208" s="963"/>
      <c r="F208" s="963"/>
      <c r="G208" s="963"/>
      <c r="H208" s="963"/>
      <c r="I208" s="963"/>
      <c r="J208" s="963"/>
      <c r="K208" s="963"/>
      <c r="L208" s="963"/>
      <c r="M208" s="963"/>
      <c r="N208" s="964"/>
    </row>
    <row r="209" spans="1:9" s="267" customFormat="1" x14ac:dyDescent="0.25"/>
    <row r="210" spans="1:9" ht="15.75" thickBot="1" x14ac:dyDescent="0.3">
      <c r="D210" s="57" t="s">
        <v>855</v>
      </c>
      <c r="E210" t="s">
        <v>856</v>
      </c>
      <c r="F210" s="35" t="s">
        <v>857</v>
      </c>
    </row>
    <row r="211" spans="1:9" ht="15.75" thickBot="1" x14ac:dyDescent="0.3">
      <c r="A211" t="s">
        <v>858</v>
      </c>
      <c r="B211" s="174" t="b">
        <v>0</v>
      </c>
      <c r="C211" s="59">
        <f>IF($B211=TRUE,10,0)</f>
        <v>0</v>
      </c>
      <c r="D211" s="175">
        <f>'SW initial CoS form'!$C$562</f>
        <v>0</v>
      </c>
      <c r="E211" s="176">
        <f>'SW initial CoS form'!$E$562</f>
        <v>0</v>
      </c>
      <c r="F211" s="177">
        <f>'SW initial CoS form'!$H$562</f>
        <v>0</v>
      </c>
    </row>
    <row r="212" spans="1:9" x14ac:dyDescent="0.25">
      <c r="A212" t="s">
        <v>1107</v>
      </c>
      <c r="B212" s="178" t="b">
        <v>0</v>
      </c>
      <c r="C212" s="59">
        <f>IF(OR($B212=TRUE,$D$217&lt;&gt;""),10,0)</f>
        <v>0</v>
      </c>
      <c r="D212" s="179" t="str">
        <f>IF($D$217&lt;&gt;"","N/A Cost code provided","")</f>
        <v/>
      </c>
      <c r="E212" s="180"/>
      <c r="F212" s="180"/>
    </row>
    <row r="213" spans="1:9" x14ac:dyDescent="0.25">
      <c r="A213" s="74" t="s">
        <v>919</v>
      </c>
      <c r="B213" s="227" t="b">
        <v>0</v>
      </c>
      <c r="C213" s="59">
        <f>IF(OR($B213=TRUE,$D$217&lt;&gt;""),10,0)</f>
        <v>0</v>
      </c>
      <c r="D213" s="179" t="str">
        <f>IF($D$217&lt;&gt;"","N/A Cost code provided",IF('SW initial CoS form'!$I$569="","",'SW initial CoS form'!$I$569))</f>
        <v/>
      </c>
      <c r="E213" s="180"/>
      <c r="F213" s="180"/>
    </row>
    <row r="214" spans="1:9" x14ac:dyDescent="0.25">
      <c r="A214" s="421" t="s">
        <v>1108</v>
      </c>
      <c r="B214" s="422"/>
      <c r="C214" s="422"/>
      <c r="D214" s="423"/>
      <c r="E214" s="424"/>
      <c r="F214" s="425"/>
    </row>
    <row r="215" spans="1:9" x14ac:dyDescent="0.25">
      <c r="A215" t="s">
        <v>859</v>
      </c>
      <c r="B215" s="172" t="b">
        <v>0</v>
      </c>
      <c r="C215" s="59">
        <f>IF(OR($B$212=TRUE,AND($B$215=TRUE,$D$217&lt;&gt;"")),10,0)</f>
        <v>0</v>
      </c>
      <c r="D215" s="181" t="str">
        <f>CONCATENATE('SW initial CoS form'!$B$580,"/",'SW initial CoS form'!$D$580,"/",'SW initial CoS form'!$F$580,"/",'SW initial CoS form'!$G$580,"/",'SW initial CoS form'!$I$580)</f>
        <v>/85210/00/00000/10</v>
      </c>
    </row>
    <row r="216" spans="1:9" x14ac:dyDescent="0.25">
      <c r="A216" s="182"/>
      <c r="B216" s="183"/>
      <c r="D216" s="181"/>
      <c r="E216" s="57"/>
      <c r="F216" s="57"/>
      <c r="G216" s="144"/>
    </row>
    <row r="217" spans="1:9" x14ac:dyDescent="0.25">
      <c r="B217" s="183"/>
      <c r="C217" s="182" t="s">
        <v>860</v>
      </c>
      <c r="D217" s="57" t="str">
        <f>IF('SW initial CoS form'!$B$580="","",'SW initial CoS form'!$B$580)</f>
        <v/>
      </c>
      <c r="E217" s="57" t="str">
        <f>IF('SW initial CoS form'!$B$582="","",'SW initial CoS form'!$B$582)</f>
        <v>must be 6 characters</v>
      </c>
    </row>
    <row r="218" spans="1:9" x14ac:dyDescent="0.25">
      <c r="B218" s="183"/>
      <c r="C218" s="182" t="s">
        <v>861</v>
      </c>
      <c r="D218" s="57" t="str">
        <f>IF('SW initial CoS form'!$G$580="","",'SW initial CoS form'!$G$580)</f>
        <v>00000</v>
      </c>
      <c r="E218" s="57" t="str">
        <f>IF('SW initial CoS form'!$G$582="","",'SW initial CoS form'!$G$582)</f>
        <v/>
      </c>
    </row>
    <row r="219" spans="1:9" x14ac:dyDescent="0.25">
      <c r="A219" s="182"/>
      <c r="B219" s="183"/>
      <c r="D219" s="184"/>
      <c r="E219" s="34"/>
    </row>
    <row r="220" spans="1:9" x14ac:dyDescent="0.25">
      <c r="A220" s="982" t="s">
        <v>862</v>
      </c>
      <c r="B220" s="982"/>
      <c r="D220" s="983" t="s">
        <v>863</v>
      </c>
      <c r="E220" s="983"/>
    </row>
    <row r="221" spans="1:9" x14ac:dyDescent="0.25">
      <c r="A221" s="985" t="str">
        <f>IFERROR(IF($D$217&lt;&gt;"",VLOOKUP(LEFT($D$217,2),'Cost Centre list'!$A$4:$B$204,2,FALSE),""),"")</f>
        <v/>
      </c>
      <c r="B221" s="985"/>
      <c r="D221" s="986" t="str">
        <f>$E$226</f>
        <v/>
      </c>
      <c r="E221" s="986"/>
    </row>
    <row r="222" spans="1:9" x14ac:dyDescent="0.25">
      <c r="D222" s="57"/>
    </row>
    <row r="223" spans="1:9" x14ac:dyDescent="0.25">
      <c r="A223" t="s">
        <v>864</v>
      </c>
      <c r="B223" s="172" t="b">
        <v>0</v>
      </c>
      <c r="C223" s="59">
        <f>IF(AND($B$223=TRUE,$E$223&lt;&gt;"")=TRUE,10,0)</f>
        <v>0</v>
      </c>
      <c r="D223" s="145" t="s">
        <v>865</v>
      </c>
      <c r="E223" s="979" t="str">
        <f>IF('SW initial CoS form'!$D$591&lt;&gt;"",'SW initial CoS form'!$D$591,"")</f>
        <v/>
      </c>
      <c r="F223" s="979"/>
      <c r="G223" s="979"/>
      <c r="H223" s="979"/>
      <c r="I223" s="979"/>
    </row>
    <row r="224" spans="1:9" x14ac:dyDescent="0.25">
      <c r="D224" s="145" t="s">
        <v>866</v>
      </c>
      <c r="E224" s="979" t="str">
        <f>IF('SW initial CoS form'!$D$592&lt;&gt;"",'SW initial CoS form'!$D$592,"")</f>
        <v/>
      </c>
      <c r="F224" s="979"/>
      <c r="G224" s="979"/>
      <c r="H224" s="979"/>
      <c r="I224" s="979"/>
    </row>
    <row r="225" spans="4:9" x14ac:dyDescent="0.25">
      <c r="D225" s="145" t="s">
        <v>867</v>
      </c>
      <c r="E225" s="984" t="str">
        <f>IF('SW initial CoS form'!$D$593&lt;&gt;"",'SW initial CoS form'!$D$593,"")</f>
        <v/>
      </c>
      <c r="F225" s="984"/>
      <c r="G225" s="984"/>
      <c r="H225" s="984"/>
      <c r="I225" s="984"/>
    </row>
    <row r="226" spans="4:9" x14ac:dyDescent="0.25">
      <c r="D226" s="145" t="s">
        <v>868</v>
      </c>
      <c r="E226" s="979" t="str">
        <f>IF('SW initial CoS form'!$D$594&lt;&gt;"",'SW initial CoS form'!$D$594,"")</f>
        <v/>
      </c>
      <c r="F226" s="979"/>
      <c r="G226" s="979"/>
      <c r="H226" s="979"/>
      <c r="I226" s="979"/>
    </row>
    <row r="227" spans="4:9" x14ac:dyDescent="0.25">
      <c r="D227" s="145" t="s">
        <v>869</v>
      </c>
      <c r="E227" s="979" t="str">
        <f>IF('SW initial CoS form'!$D$595&lt;&gt;"",'SW initial CoS form'!$D$595,"")</f>
        <v/>
      </c>
      <c r="F227" s="979"/>
      <c r="G227" s="979"/>
      <c r="H227" s="979"/>
      <c r="I227" s="979"/>
    </row>
    <row r="228" spans="4:9" x14ac:dyDescent="0.25">
      <c r="D228" s="145" t="s">
        <v>870</v>
      </c>
      <c r="E228" s="980" t="str">
        <f>IF('SW initial CoS form'!$D$596&lt;&gt;"",HYPERLINK("mailto:" &amp; TRIM('SW initial CoS form'!$D$596) &amp; "?subject=Tier 2 CoS extension application - " &amp; $D$25 &amp; " " &amp; $D$27 &amp; " " &amp; UPPER($D$26),TRIM('SW initial CoS form'!$D$596)),"")</f>
        <v/>
      </c>
      <c r="F228" s="979"/>
      <c r="G228" s="979"/>
      <c r="H228" s="979"/>
      <c r="I228" s="979"/>
    </row>
    <row r="229" spans="4:9" x14ac:dyDescent="0.25">
      <c r="D229" s="57"/>
      <c r="E229" s="981" t="str">
        <f>IF('SW initial CoS form'!$D$597="","",'SW initial CoS form'!$D$597)</f>
        <v/>
      </c>
      <c r="F229" s="981"/>
      <c r="G229" s="981"/>
      <c r="H229" s="981"/>
      <c r="I229" s="981"/>
    </row>
  </sheetData>
  <sheetProtection algorithmName="SHA-512" hashValue="wLeimcNI3wpTcngeTCpjOoYLh9KlX0Y6IyJKbZo06xpTghz99mC/AchyWKW1LBp6xQyGaGgBp5kGL5gw3KeTHQ==" saltValue="V3+hjjWlEAsNDfXeQnNuIw==" spinCount="100000" sheet="1" objects="1" scenarios="1"/>
  <mergeCells count="52">
    <mergeCell ref="A3:N3"/>
    <mergeCell ref="A16:N16"/>
    <mergeCell ref="A43:N43"/>
    <mergeCell ref="G12:M14"/>
    <mergeCell ref="D133:M133"/>
    <mergeCell ref="A119:N119"/>
    <mergeCell ref="D121:M128"/>
    <mergeCell ref="D130:E130"/>
    <mergeCell ref="A69:D69"/>
    <mergeCell ref="A87:N87"/>
    <mergeCell ref="E93:M95"/>
    <mergeCell ref="F76:M76"/>
    <mergeCell ref="B1:D1"/>
    <mergeCell ref="A208:N208"/>
    <mergeCell ref="F68:H68"/>
    <mergeCell ref="F69:H69"/>
    <mergeCell ref="E79:I81"/>
    <mergeCell ref="E83:I83"/>
    <mergeCell ref="A145:A146"/>
    <mergeCell ref="D145:M147"/>
    <mergeCell ref="B158:G158"/>
    <mergeCell ref="B159:D159"/>
    <mergeCell ref="E159:I159"/>
    <mergeCell ref="B154:D154"/>
    <mergeCell ref="C62:K62"/>
    <mergeCell ref="D135:M142"/>
    <mergeCell ref="G130:K130"/>
    <mergeCell ref="F65:K65"/>
    <mergeCell ref="E228:I228"/>
    <mergeCell ref="E229:I229"/>
    <mergeCell ref="A220:B220"/>
    <mergeCell ref="D220:E220"/>
    <mergeCell ref="E223:I223"/>
    <mergeCell ref="E224:I224"/>
    <mergeCell ref="E225:I225"/>
    <mergeCell ref="E226:I226"/>
    <mergeCell ref="A221:B221"/>
    <mergeCell ref="D221:E221"/>
    <mergeCell ref="A182:N182"/>
    <mergeCell ref="E174:N178"/>
    <mergeCell ref="B155:C155"/>
    <mergeCell ref="A161:N161"/>
    <mergeCell ref="E227:I227"/>
    <mergeCell ref="A195:N195"/>
    <mergeCell ref="O63:S70"/>
    <mergeCell ref="B72:D72"/>
    <mergeCell ref="B73:D73"/>
    <mergeCell ref="B74:D74"/>
    <mergeCell ref="F72:M75"/>
    <mergeCell ref="F66:M66"/>
    <mergeCell ref="F70:H70"/>
    <mergeCell ref="F67:I67"/>
  </mergeCells>
  <conditionalFormatting sqref="A5:D5 A190:D190">
    <cfRule type="expression" dxfId="41" priority="159">
      <formula>$B$6=TRUE</formula>
    </cfRule>
  </conditionalFormatting>
  <conditionalFormatting sqref="A191:E191 A6:D8">
    <cfRule type="expression" dxfId="40" priority="158">
      <formula>$B$5=TRUE</formula>
    </cfRule>
  </conditionalFormatting>
  <conditionalFormatting sqref="C19:C23">
    <cfRule type="iconSet" priority="150">
      <iconSet iconSet="3Symbols2" showValue="0">
        <cfvo type="percent" val="0"/>
        <cfvo type="num" val="0"/>
        <cfvo type="num" val="10"/>
      </iconSet>
    </cfRule>
  </conditionalFormatting>
  <conditionalFormatting sqref="A19:D23 A11:D14">
    <cfRule type="expression" dxfId="39" priority="148">
      <formula>$B11=TRUE</formula>
    </cfRule>
  </conditionalFormatting>
  <conditionalFormatting sqref="C11:C14">
    <cfRule type="iconSet" priority="146">
      <iconSet iconSet="3Symbols2" showValue="0">
        <cfvo type="percent" val="0"/>
        <cfvo type="num" val="0"/>
        <cfvo type="num" val="10"/>
      </iconSet>
    </cfRule>
  </conditionalFormatting>
  <conditionalFormatting sqref="A33:B34 D33:D34">
    <cfRule type="expression" dxfId="38" priority="143">
      <formula>$D$18="No"</formula>
    </cfRule>
  </conditionalFormatting>
  <conditionalFormatting sqref="C25:C32">
    <cfRule type="iconSet" priority="141">
      <iconSet iconSet="3Symbols2" showValue="0">
        <cfvo type="percent" val="0"/>
        <cfvo type="num" val="0"/>
        <cfvo type="num" val="10"/>
      </iconSet>
    </cfRule>
  </conditionalFormatting>
  <conditionalFormatting sqref="C33:C34">
    <cfRule type="iconSet" priority="140">
      <iconSet iconSet="3Symbols2" showValue="0">
        <cfvo type="percent" val="0"/>
        <cfvo type="num" val="0"/>
        <cfvo type="num" val="10"/>
      </iconSet>
    </cfRule>
  </conditionalFormatting>
  <conditionalFormatting sqref="D29 D33:D34">
    <cfRule type="expression" dxfId="37" priority="138">
      <formula>$E$29&lt;&gt;""</formula>
    </cfRule>
  </conditionalFormatting>
  <conditionalFormatting sqref="C35:C38">
    <cfRule type="iconSet" priority="136">
      <iconSet iconSet="3Symbols2" showValue="0">
        <cfvo type="percent" val="0"/>
        <cfvo type="num" val="0"/>
        <cfvo type="num" val="10"/>
      </iconSet>
    </cfRule>
  </conditionalFormatting>
  <conditionalFormatting sqref="C39">
    <cfRule type="iconSet" priority="134">
      <iconSet iconSet="3Symbols2" showValue="0">
        <cfvo type="percent" val="0"/>
        <cfvo type="num" val="0"/>
        <cfvo type="num" val="10"/>
      </iconSet>
    </cfRule>
  </conditionalFormatting>
  <conditionalFormatting sqref="C40">
    <cfRule type="iconSet" priority="133">
      <iconSet iconSet="3Symbols2" showValue="0">
        <cfvo type="percent" val="0"/>
        <cfvo type="num" val="0"/>
        <cfvo type="num" val="10"/>
      </iconSet>
    </cfRule>
  </conditionalFormatting>
  <conditionalFormatting sqref="C41">
    <cfRule type="iconSet" priority="137">
      <iconSet iconSet="3Symbols2" showValue="0">
        <cfvo type="percent" val="0"/>
        <cfvo type="num" val="0"/>
        <cfvo type="num" val="10"/>
      </iconSet>
    </cfRule>
  </conditionalFormatting>
  <conditionalFormatting sqref="D45">
    <cfRule type="expression" dxfId="36" priority="129">
      <formula>$E$25&lt;&gt;""</formula>
    </cfRule>
  </conditionalFormatting>
  <conditionalFormatting sqref="C46">
    <cfRule type="iconSet" priority="128">
      <iconSet iconSet="3Symbols2" showValue="0">
        <cfvo type="percent" val="0"/>
        <cfvo type="num" val="0"/>
        <cfvo type="num" val="10"/>
      </iconSet>
    </cfRule>
  </conditionalFormatting>
  <conditionalFormatting sqref="D52">
    <cfRule type="expression" dxfId="35" priority="127">
      <formula>$H$32&lt;&gt;""</formula>
    </cfRule>
  </conditionalFormatting>
  <conditionalFormatting sqref="C45">
    <cfRule type="iconSet" priority="130">
      <iconSet iconSet="3Symbols2" showValue="0">
        <cfvo type="percent" val="0"/>
        <cfvo type="num" val="0"/>
        <cfvo type="num" val="10"/>
      </iconSet>
    </cfRule>
  </conditionalFormatting>
  <conditionalFormatting sqref="C52">
    <cfRule type="iconSet" priority="131">
      <iconSet iconSet="3Symbols2" showValue="0">
        <cfvo type="percent" val="0"/>
        <cfvo type="num" val="0"/>
        <cfvo type="num" val="10"/>
      </iconSet>
    </cfRule>
  </conditionalFormatting>
  <conditionalFormatting sqref="A43 G1">
    <cfRule type="expression" dxfId="34" priority="126">
      <formula>SUM($C$45:$C$83)=120</formula>
    </cfRule>
  </conditionalFormatting>
  <conditionalFormatting sqref="D89:D91">
    <cfRule type="expression" dxfId="33" priority="124">
      <formula>$E$33&lt;&gt;""</formula>
    </cfRule>
  </conditionalFormatting>
  <conditionalFormatting sqref="C89">
    <cfRule type="iconSet" priority="125">
      <iconSet iconSet="3Symbols2" showValue="0">
        <cfvo type="percent" val="0"/>
        <cfvo type="num" val="0"/>
        <cfvo type="num" val="10"/>
      </iconSet>
    </cfRule>
  </conditionalFormatting>
  <conditionalFormatting sqref="C60">
    <cfRule type="iconSet" priority="123">
      <iconSet iconSet="3Symbols2" showValue="0">
        <cfvo type="percent" val="0"/>
        <cfvo type="num" val="0"/>
        <cfvo type="num" val="10"/>
      </iconSet>
    </cfRule>
  </conditionalFormatting>
  <conditionalFormatting sqref="D92:D93">
    <cfRule type="expression" dxfId="32" priority="122">
      <formula>$E$35&lt;&gt;""</formula>
    </cfRule>
  </conditionalFormatting>
  <conditionalFormatting sqref="C92:C95">
    <cfRule type="iconSet" priority="121">
      <iconSet iconSet="3Symbols2" showValue="0">
        <cfvo type="percent" val="0"/>
        <cfvo type="num" val="0"/>
        <cfvo type="num" val="10"/>
      </iconSet>
    </cfRule>
  </conditionalFormatting>
  <conditionalFormatting sqref="D94">
    <cfRule type="expression" dxfId="31" priority="120">
      <formula>LEFT($E$36,5)&lt;&gt;"/ / /"</formula>
    </cfRule>
  </conditionalFormatting>
  <conditionalFormatting sqref="C96">
    <cfRule type="iconSet" priority="119">
      <iconSet iconSet="3Symbols2" showValue="0">
        <cfvo type="percent" val="0"/>
        <cfvo type="num" val="0"/>
        <cfvo type="num" val="10"/>
      </iconSet>
    </cfRule>
  </conditionalFormatting>
  <conditionalFormatting sqref="C97">
    <cfRule type="iconSet" priority="118">
      <iconSet iconSet="3Symbols2" showValue="0">
        <cfvo type="percent" val="0"/>
        <cfvo type="num" val="0"/>
        <cfvo type="num" val="10"/>
      </iconSet>
    </cfRule>
  </conditionalFormatting>
  <conditionalFormatting sqref="C99">
    <cfRule type="iconSet" priority="116">
      <iconSet iconSet="3Symbols2" showValue="0">
        <cfvo type="percent" val="0"/>
        <cfvo type="num" val="0"/>
        <cfvo type="num" val="10"/>
      </iconSet>
    </cfRule>
  </conditionalFormatting>
  <conditionalFormatting sqref="D99:E99">
    <cfRule type="expression" dxfId="30" priority="115">
      <formula>$E$48&lt;&gt;""</formula>
    </cfRule>
  </conditionalFormatting>
  <conditionalFormatting sqref="C100">
    <cfRule type="iconSet" priority="114">
      <iconSet iconSet="3Symbols2" showValue="0">
        <cfvo type="percent" val="0"/>
        <cfvo type="num" val="0"/>
        <cfvo type="num" val="10"/>
      </iconSet>
    </cfRule>
  </conditionalFormatting>
  <conditionalFormatting sqref="D121:M128">
    <cfRule type="cellIs" dxfId="29" priority="110" operator="equal">
      <formula>""</formula>
    </cfRule>
  </conditionalFormatting>
  <conditionalFormatting sqref="D112:D117">
    <cfRule type="expression" dxfId="28" priority="109">
      <formula>$D$113=""</formula>
    </cfRule>
  </conditionalFormatting>
  <conditionalFormatting sqref="D106:D111">
    <cfRule type="expression" dxfId="27" priority="108">
      <formula>$D$107=""</formula>
    </cfRule>
  </conditionalFormatting>
  <conditionalFormatting sqref="A87 H1">
    <cfRule type="expression" dxfId="26" priority="169">
      <formula>SUM($C$89:$C$112)=90</formula>
    </cfRule>
  </conditionalFormatting>
  <conditionalFormatting sqref="C133">
    <cfRule type="iconSet" priority="107">
      <iconSet iconSet="3Symbols2" showValue="0">
        <cfvo type="percent" val="0"/>
        <cfvo type="num" val="0"/>
        <cfvo type="num" val="10"/>
      </iconSet>
    </cfRule>
  </conditionalFormatting>
  <conditionalFormatting sqref="C135">
    <cfRule type="iconSet" priority="106">
      <iconSet iconSet="3Symbols2" showValue="0">
        <cfvo type="percent" val="0"/>
        <cfvo type="num" val="0"/>
        <cfvo type="num" val="10"/>
      </iconSet>
    </cfRule>
  </conditionalFormatting>
  <conditionalFormatting sqref="A119 I1">
    <cfRule type="expression" dxfId="25" priority="105">
      <formula>SUM($C$121:$C$152)=70</formula>
    </cfRule>
  </conditionalFormatting>
  <conditionalFormatting sqref="C144:C145">
    <cfRule type="iconSet" priority="104">
      <iconSet iconSet="3Symbols2" showValue="0">
        <cfvo type="percent" val="0"/>
        <cfvo type="num" val="0"/>
        <cfvo type="num" val="10"/>
      </iconSet>
    </cfRule>
  </conditionalFormatting>
  <conditionalFormatting sqref="C150">
    <cfRule type="iconSet" priority="100">
      <iconSet iconSet="3Symbols2" showValue="0">
        <cfvo type="percent" val="0"/>
        <cfvo type="num" val="0"/>
        <cfvo type="num" val="10"/>
      </iconSet>
    </cfRule>
  </conditionalFormatting>
  <conditionalFormatting sqref="A164:B167">
    <cfRule type="expression" dxfId="24" priority="96">
      <formula>$B164=TRUE</formula>
    </cfRule>
  </conditionalFormatting>
  <conditionalFormatting sqref="D173">
    <cfRule type="containsText" dxfId="23" priority="94" operator="containsText" text="Yes">
      <formula>NOT(ISERROR(SEARCH("Yes",D173)))</formula>
    </cfRule>
  </conditionalFormatting>
  <conditionalFormatting sqref="A170:B171">
    <cfRule type="expression" dxfId="22" priority="93">
      <formula>$B170=TRUE</formula>
    </cfRule>
  </conditionalFormatting>
  <conditionalFormatting sqref="C170:C171">
    <cfRule type="iconSet" priority="92">
      <iconSet iconSet="3Symbols2" showValue="0">
        <cfvo type="percent" val="0"/>
        <cfvo type="num" val="0"/>
        <cfvo type="num" val="10"/>
      </iconSet>
    </cfRule>
  </conditionalFormatting>
  <conditionalFormatting sqref="C173">
    <cfRule type="iconSet" priority="91">
      <iconSet iconSet="3Symbols2" showValue="0">
        <cfvo type="percent" val="0"/>
        <cfvo type="num" val="0"/>
        <cfvo type="num" val="10"/>
      </iconSet>
    </cfRule>
  </conditionalFormatting>
  <conditionalFormatting sqref="D174">
    <cfRule type="containsText" dxfId="21" priority="90" operator="containsText" text="Yes">
      <formula>NOT(ISERROR(SEARCH("Yes",D174)))</formula>
    </cfRule>
  </conditionalFormatting>
  <conditionalFormatting sqref="C174">
    <cfRule type="iconSet" priority="89">
      <iconSet iconSet="3Symbols2" showValue="0">
        <cfvo type="percent" val="0"/>
        <cfvo type="num" val="0"/>
        <cfvo type="num" val="10"/>
      </iconSet>
    </cfRule>
  </conditionalFormatting>
  <conditionalFormatting sqref="A169:N173">
    <cfRule type="expression" dxfId="20" priority="88">
      <formula>$B$164=FALSE</formula>
    </cfRule>
  </conditionalFormatting>
  <conditionalFormatting sqref="C106">
    <cfRule type="iconSet" priority="74">
      <iconSet iconSet="3Symbols2" showValue="0">
        <cfvo type="percent" val="0"/>
        <cfvo type="num" val="0"/>
        <cfvo type="num" val="10"/>
      </iconSet>
    </cfRule>
  </conditionalFormatting>
  <conditionalFormatting sqref="C112">
    <cfRule type="iconSet" priority="73">
      <iconSet iconSet="3Symbols2" showValue="0">
        <cfvo type="percent" val="0"/>
        <cfvo type="num" val="0"/>
        <cfvo type="num" val="10"/>
      </iconSet>
    </cfRule>
  </conditionalFormatting>
  <conditionalFormatting sqref="C121">
    <cfRule type="iconSet" priority="72">
      <iconSet iconSet="3Symbols2" showValue="0">
        <cfvo type="percent" val="0"/>
        <cfvo type="num" val="0"/>
        <cfvo type="num" val="10"/>
      </iconSet>
    </cfRule>
  </conditionalFormatting>
  <conditionalFormatting sqref="C184:C186">
    <cfRule type="iconSet" priority="67">
      <iconSet iconSet="3Symbols2" showValue="0">
        <cfvo type="percent" val="0"/>
        <cfvo type="num" val="0"/>
        <cfvo type="num" val="10"/>
      </iconSet>
    </cfRule>
  </conditionalFormatting>
  <conditionalFormatting sqref="D200">
    <cfRule type="iconSet" priority="59">
      <iconSet iconSet="3Symbols2" showValue="0">
        <cfvo type="percent" val="0"/>
        <cfvo type="num" val="0"/>
        <cfvo type="num" val="10"/>
      </iconSet>
    </cfRule>
  </conditionalFormatting>
  <conditionalFormatting sqref="D201">
    <cfRule type="iconSet" priority="58">
      <iconSet iconSet="3Symbols2" showValue="0">
        <cfvo type="percent" val="0"/>
        <cfvo type="num" val="0"/>
        <cfvo type="num" val="10"/>
      </iconSet>
    </cfRule>
  </conditionalFormatting>
  <conditionalFormatting sqref="C206">
    <cfRule type="iconSet" priority="55">
      <iconSet iconSet="3Symbols2" showValue="0">
        <cfvo type="percent" val="0"/>
        <cfvo type="num" val="0"/>
        <cfvo type="num" val="10"/>
      </iconSet>
    </cfRule>
  </conditionalFormatting>
  <conditionalFormatting sqref="C211:C213">
    <cfRule type="iconSet" priority="54">
      <iconSet iconSet="3Symbols2" showValue="0">
        <cfvo type="percent" val="0"/>
        <cfvo type="num" val="0"/>
        <cfvo type="num" val="10"/>
      </iconSet>
    </cfRule>
  </conditionalFormatting>
  <conditionalFormatting sqref="C223">
    <cfRule type="iconSet" priority="53">
      <iconSet iconSet="3Symbols2" showValue="0">
        <cfvo type="percent" val="0"/>
        <cfvo type="num" val="0"/>
        <cfvo type="num" val="10"/>
      </iconSet>
    </cfRule>
  </conditionalFormatting>
  <conditionalFormatting sqref="D215">
    <cfRule type="expression" dxfId="19" priority="56">
      <formula>OR($E$217&lt;&gt;"",$E$218&lt;&gt;"")</formula>
    </cfRule>
  </conditionalFormatting>
  <conditionalFormatting sqref="A212:F214">
    <cfRule type="expression" dxfId="18" priority="57" stopIfTrue="1">
      <formula>$D$217&lt;&gt;""</formula>
    </cfRule>
  </conditionalFormatting>
  <conditionalFormatting sqref="A216:F216 A215:B215 D215:F215 A219:F221 A217:C218 F217:F218">
    <cfRule type="expression" dxfId="17" priority="52" stopIfTrue="1">
      <formula>$D$217=""</formula>
    </cfRule>
  </conditionalFormatting>
  <conditionalFormatting sqref="C215">
    <cfRule type="iconSet" priority="51">
      <iconSet iconSet="3Symbols2" showValue="0">
        <cfvo type="percent" val="0"/>
        <cfvo type="num" val="0"/>
        <cfvo type="num" val="10"/>
      </iconSet>
    </cfRule>
  </conditionalFormatting>
  <conditionalFormatting sqref="D217:E218">
    <cfRule type="expression" dxfId="16" priority="49" stopIfTrue="1">
      <formula>$D$217=""</formula>
    </cfRule>
  </conditionalFormatting>
  <conditionalFormatting sqref="A208:N208 M1">
    <cfRule type="expression" dxfId="15" priority="48">
      <formula>SUM($C$211:$C$223)=50</formula>
    </cfRule>
  </conditionalFormatting>
  <conditionalFormatting sqref="A190:E190">
    <cfRule type="expression" dxfId="14" priority="47">
      <formula>AND($B$5=TRUE,OR($D$45=$D$29,$D$45=$D$33,$D$45=$D$34))</formula>
    </cfRule>
  </conditionalFormatting>
  <conditionalFormatting sqref="A200:E201">
    <cfRule type="expression" dxfId="13" priority="46">
      <formula>$B$164=FALSE</formula>
    </cfRule>
  </conditionalFormatting>
  <conditionalFormatting sqref="E8">
    <cfRule type="expression" dxfId="12" priority="24">
      <formula>$B$6=TRUE</formula>
    </cfRule>
  </conditionalFormatting>
  <conditionalFormatting sqref="C152">
    <cfRule type="iconSet" priority="18">
      <iconSet iconSet="3Symbols2" showValue="0">
        <cfvo type="percent" val="0"/>
        <cfvo type="num" val="0"/>
        <cfvo type="num" val="10"/>
      </iconSet>
    </cfRule>
  </conditionalFormatting>
  <conditionalFormatting sqref="A158:G158">
    <cfRule type="expression" dxfId="11" priority="17">
      <formula>$B$157&lt;&gt;"Yes"</formula>
    </cfRule>
  </conditionalFormatting>
  <conditionalFormatting sqref="A161 J1">
    <cfRule type="expression" dxfId="10" priority="222">
      <formula>AND(OR($C$165=10,$C$167=10,AND($C$164=10,SUM($C$170:$C$174)=30),AND($C$166=10,SUM($C$173:$C$174)=20)),$C$180=10)</formula>
    </cfRule>
  </conditionalFormatting>
  <conditionalFormatting sqref="C164:C167">
    <cfRule type="iconSet" priority="254">
      <iconSet iconSet="3Symbols2" showValue="0">
        <cfvo type="percent" val="0"/>
        <cfvo type="num" val="0"/>
        <cfvo type="num" val="10"/>
      </iconSet>
    </cfRule>
  </conditionalFormatting>
  <conditionalFormatting sqref="A174:N178">
    <cfRule type="expression" dxfId="9" priority="16">
      <formula>AND($B$164=FALSE,$B$166=FALSE)</formula>
    </cfRule>
  </conditionalFormatting>
  <conditionalFormatting sqref="A3 E1">
    <cfRule type="expression" dxfId="8" priority="272">
      <formula>AND(OR($C$5=10,SUM($C$6:$C$8)=30),SUM($C$11:$C$14)=10)</formula>
    </cfRule>
  </conditionalFormatting>
  <conditionalFormatting sqref="C5:C8">
    <cfRule type="iconSet" priority="309">
      <iconSet iconSet="3Symbols2" showValue="0">
        <cfvo type="percent" val="0"/>
        <cfvo type="num" val="0"/>
        <cfvo type="num" val="10"/>
      </iconSet>
    </cfRule>
  </conditionalFormatting>
  <conditionalFormatting sqref="A16 F1">
    <cfRule type="expression" dxfId="7" priority="313">
      <formula>AND(SUM($C$19:$C$23)=10,SUM($C$25:$C$41)=170)</formula>
    </cfRule>
  </conditionalFormatting>
  <conditionalFormatting sqref="A182:N182 K1">
    <cfRule type="expression" dxfId="6" priority="330">
      <formula>SUM($C$184:$C$186,$D$189:$D$193)&gt;=70</formula>
    </cfRule>
  </conditionalFormatting>
  <conditionalFormatting sqref="A195:N195 L1">
    <cfRule type="expression" dxfId="5" priority="340">
      <formula>SUM($D$197:$D$201,$C$206)=60</formula>
    </cfRule>
  </conditionalFormatting>
  <conditionalFormatting sqref="D189:D193 D197:D199">
    <cfRule type="iconSet" priority="342">
      <iconSet iconSet="3Symbols2" showValue="0">
        <cfvo type="percent" val="0"/>
        <cfvo type="num" val="0"/>
        <cfvo type="num" val="10"/>
      </iconSet>
    </cfRule>
  </conditionalFormatting>
  <conditionalFormatting sqref="C180">
    <cfRule type="iconSet" priority="15">
      <iconSet iconSet="3Symbols2" showValue="0">
        <cfvo type="percent" val="0"/>
        <cfvo type="num" val="0"/>
        <cfvo type="num" val="10"/>
      </iconSet>
    </cfRule>
  </conditionalFormatting>
  <conditionalFormatting sqref="C64:C65">
    <cfRule type="iconSet" priority="14">
      <iconSet iconSet="3Symbols2" showValue="0">
        <cfvo type="percent" val="0"/>
        <cfvo type="num" val="0"/>
        <cfvo type="num" val="10"/>
      </iconSet>
    </cfRule>
  </conditionalFormatting>
  <conditionalFormatting sqref="E69:E72 E74:E79">
    <cfRule type="expression" dxfId="4" priority="13">
      <formula>$D$18="No"</formula>
    </cfRule>
  </conditionalFormatting>
  <conditionalFormatting sqref="C79">
    <cfRule type="iconSet" priority="12">
      <iconSet iconSet="3Symbols2" showValue="0">
        <cfvo type="percent" val="0"/>
        <cfvo type="num" val="0"/>
        <cfvo type="num" val="10"/>
      </iconSet>
    </cfRule>
  </conditionalFormatting>
  <conditionalFormatting sqref="C80">
    <cfRule type="iconSet" priority="11">
      <iconSet iconSet="3Symbols2" showValue="0">
        <cfvo type="percent" val="0"/>
        <cfvo type="num" val="0"/>
        <cfvo type="num" val="10"/>
      </iconSet>
    </cfRule>
  </conditionalFormatting>
  <conditionalFormatting sqref="C81">
    <cfRule type="iconSet" priority="10">
      <iconSet iconSet="3Symbols2" showValue="0">
        <cfvo type="percent" val="0"/>
        <cfvo type="num" val="0"/>
        <cfvo type="num" val="10"/>
      </iconSet>
    </cfRule>
  </conditionalFormatting>
  <conditionalFormatting sqref="C83 C85">
    <cfRule type="iconSet" priority="9">
      <iconSet iconSet="3Symbols2" showValue="0">
        <cfvo type="percent" val="0"/>
        <cfvo type="num" val="0"/>
        <cfvo type="num" val="10"/>
      </iconSet>
    </cfRule>
  </conditionalFormatting>
  <conditionalFormatting sqref="E2">
    <cfRule type="containsText" dxfId="3" priority="7" operator="containsText" text="Please">
      <formula>NOT(ISERROR(SEARCH("Please",E2)))</formula>
    </cfRule>
  </conditionalFormatting>
  <conditionalFormatting sqref="C76">
    <cfRule type="iconSet" priority="5">
      <iconSet iconSet="3Symbols2" showValue="0">
        <cfvo type="percent" val="0"/>
        <cfvo type="num" val="0"/>
        <cfvo type="num" val="10"/>
      </iconSet>
    </cfRule>
  </conditionalFormatting>
  <conditionalFormatting sqref="A80:C83">
    <cfRule type="expression" dxfId="2" priority="4">
      <formula>$B$79="No"</formula>
    </cfRule>
  </conditionalFormatting>
  <conditionalFormatting sqref="C56">
    <cfRule type="iconSet" priority="1">
      <iconSet iconSet="3Symbols2" showValue="0">
        <cfvo type="percent" val="0"/>
        <cfvo type="num" val="0"/>
        <cfvo type="num" val="10"/>
      </iconSet>
    </cfRule>
  </conditionalFormatting>
  <dataValidations count="4">
    <dataValidation type="list" allowBlank="1" showInputMessage="1" showErrorMessage="1" sqref="L131" xr:uid="{00000000-0002-0000-0400-000000000000}">
      <formula1>"No, Yes"</formula1>
    </dataValidation>
    <dataValidation type="list" allowBlank="1" showInputMessage="1" showErrorMessage="1" sqref="B152" xr:uid="{00000000-0002-0000-0400-000001000000}">
      <formula1>"'- select -,Yes"</formula1>
    </dataValidation>
    <dataValidation type="list" allowBlank="1" showInputMessage="1" showErrorMessage="1" sqref="L130" xr:uid="{00000000-0002-0000-0400-000002000000}">
      <formula1>"'- select -,No, Yes"</formula1>
    </dataValidation>
    <dataValidation type="list" allowBlank="1" showInputMessage="1" showErrorMessage="1" sqref="B79" xr:uid="{00000000-0002-0000-0400-000003000000}">
      <formula1>"'- select -,Yes,No"</formula1>
    </dataValidation>
  </dataValidations>
  <hyperlinks>
    <hyperlink ref="C62" r:id="rId1" xr:uid="{00000000-0004-0000-0400-000000000000}"/>
    <hyperlink ref="F76:M76" r:id="rId2" display="https://staffimmigration.web.ox.ac.uk/atas-full-cah-code-list" xr:uid="{00000000-0004-0000-0400-000001000000}"/>
  </hyperlinks>
  <pageMargins left="0.70866141732283472" right="0.70866141732283472" top="0.74803149606299213" bottom="0.74803149606299213" header="0.31496062992125984" footer="0.31496062992125984"/>
  <pageSetup paperSize="9" scale="30" fitToHeight="0" orientation="portrait" r:id="rId3"/>
  <ignoredErrors>
    <ignoredError sqref="C28 C30 D190" formula="1"/>
    <ignoredError sqref="B56:B57 C57:C58" unlockedFormula="1"/>
  </ignoredErrors>
  <extLst>
    <ext xmlns:x14="http://schemas.microsoft.com/office/spreadsheetml/2009/9/main" uri="{78C0D931-6437-407d-A8EE-F0AAD7539E65}">
      <x14:conditionalFormattings>
        <x14:conditionalFormatting xmlns:xm="http://schemas.microsoft.com/office/excel/2006/main">
          <x14:cfRule type="expression" priority="6" id="{71210626-23C8-43A2-ADC0-2C1898634F70}">
            <xm:f>'SW initial CoS form'!$A$236&lt;&gt;""</xm:f>
            <x14:dxf>
              <font>
                <color theme="0" tint="-0.499984740745262"/>
              </font>
              <fill>
                <patternFill>
                  <bgColor theme="0" tint="-0.14996795556505021"/>
                </patternFill>
              </fill>
            </x14:dxf>
          </x14:cfRule>
          <xm:sqref>A199:L199</xm:sqref>
        </x14:conditionalFormatting>
        <x14:conditionalFormatting xmlns:xm="http://schemas.microsoft.com/office/excel/2006/main">
          <x14:cfRule type="expression" priority="3" id="{BD3F1FF6-9B66-4951-A6E4-33C7DBDF7EAA}">
            <xm:f>'SW initial CoS form'!$A$236&lt;&gt;""</xm:f>
            <x14:dxf>
              <font>
                <color theme="0" tint="-0.499984740745262"/>
              </font>
              <fill>
                <patternFill>
                  <bgColor theme="0" tint="-0.14996795556505021"/>
                </patternFill>
              </fill>
            </x14:dxf>
          </x14:cfRule>
          <xm:sqref>A72:M76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Cost Centre list</vt:lpstr>
      <vt:lpstr>Dropdowns</vt:lpstr>
      <vt:lpstr>SW initial CoS form</vt:lpstr>
      <vt:lpstr>SW initial -recruitment details</vt:lpstr>
      <vt:lpstr>CHECKING</vt:lpstr>
      <vt:lpstr>CHECKING!Print_Area</vt:lpstr>
      <vt:lpstr>'SW initial CoS form'!Print_Area</vt:lpstr>
      <vt:lpstr>'SW initial -recruitment details'!Print_Area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tcurrie</dc:creator>
  <cp:lastModifiedBy>Tim Currie</cp:lastModifiedBy>
  <cp:lastPrinted>2025-04-14T18:13:05Z</cp:lastPrinted>
  <dcterms:created xsi:type="dcterms:W3CDTF">2017-11-04T15:21:37Z</dcterms:created>
  <dcterms:modified xsi:type="dcterms:W3CDTF">2026-01-09T09:42:42Z</dcterms:modified>
</cp:coreProperties>
</file>